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rookslong\Documents\School Year 2022-2023\Finance\"/>
    </mc:Choice>
  </mc:AlternateContent>
  <xr:revisionPtr revIDLastSave="0" documentId="8_{FD98F81B-36BE-4196-A9C7-CE609F8075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FO" sheetId="8" r:id="rId1"/>
    <sheet name="Snapshot" sheetId="5" r:id="rId2"/>
    <sheet name="Budget Vs Actual Summary" sheetId="7" r:id="rId3"/>
    <sheet name="Budget vs. Actuals Details" sheetId="4" r:id="rId4"/>
    <sheet name="Balance Sheet" sheetId="1" r:id="rId5"/>
    <sheet name="Annual Budget" sheetId="3" r:id="rId6"/>
    <sheet name="A P Aging Detail" sheetId="2" r:id="rId7"/>
  </sheets>
  <externalReferences>
    <externalReference r:id="rId8"/>
  </externalReferences>
  <definedNames>
    <definedName name="_xlnm._FilterDatabase" localSheetId="2" hidden="1">'Budget Vs Actual Summary'!$A$5:$Q$198</definedName>
    <definedName name="_xlnm._FilterDatabase" localSheetId="3" hidden="1">'Budget vs. Actuals Details'!$A$5:$Q$198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CFO!$A$1:$C$53</definedName>
    <definedName name="QB_COLUMN_63621">NA()</definedName>
    <definedName name="QB_COLUMN_63622">NA()</definedName>
    <definedName name="QB_COLUMN_63623">NA()</definedName>
    <definedName name="QB_COLUMN_63624">NA()</definedName>
    <definedName name="QB_COLUMN_64431">NA()</definedName>
    <definedName name="QB_COLUMN_64432">NA()</definedName>
    <definedName name="QB_COLUMN_64433">NA()</definedName>
    <definedName name="QB_COLUMN_64434">NA()</definedName>
    <definedName name="QB_COLUMN_76211">NA()</definedName>
    <definedName name="QB_COLUMN_76212">NA()</definedName>
    <definedName name="QB_COLUMN_76213">NA()</definedName>
    <definedName name="QB_COLUMN_76214">NA()</definedName>
    <definedName name="QB_COMPANY_0">#REF!</definedName>
    <definedName name="QB_DATA_0">#N/A</definedName>
    <definedName name="QB_DATA_1">#N/A</definedName>
    <definedName name="QB_DATA_10">#N/A</definedName>
    <definedName name="QB_DATA_100">#N/A</definedName>
    <definedName name="QB_DATA_101">#N/A</definedName>
    <definedName name="QB_DATA_102">#N/A</definedName>
    <definedName name="QB_DATA_11">#N/A</definedName>
    <definedName name="QB_DATA_12">#N/A</definedName>
    <definedName name="QB_DATA_13">#N/A</definedName>
    <definedName name="QB_DATA_14">#N/A</definedName>
    <definedName name="QB_DATA_15">#N/A</definedName>
    <definedName name="QB_DATA_16">#N/A</definedName>
    <definedName name="QB_DATA_17">#N/A</definedName>
    <definedName name="QB_DATA_18">#N/A</definedName>
    <definedName name="QB_DATA_19">#N/A</definedName>
    <definedName name="QB_DATA_2">#N/A</definedName>
    <definedName name="QB_DATA_20">#N/A</definedName>
    <definedName name="QB_DATA_21">#N/A</definedName>
    <definedName name="QB_DATA_22">#N/A</definedName>
    <definedName name="QB_DATA_23">#N/A</definedName>
    <definedName name="QB_DATA_24">#N/A</definedName>
    <definedName name="QB_DATA_25">#N/A</definedName>
    <definedName name="QB_DATA_26">#N/A</definedName>
    <definedName name="QB_DATA_27">#N/A</definedName>
    <definedName name="QB_DATA_28">#N/A</definedName>
    <definedName name="QB_DATA_29">#N/A</definedName>
    <definedName name="QB_DATA_3">#N/A</definedName>
    <definedName name="QB_DATA_30">#N/A</definedName>
    <definedName name="QB_DATA_31">#N/A</definedName>
    <definedName name="QB_DATA_32">#N/A</definedName>
    <definedName name="QB_DATA_33">#N/A</definedName>
    <definedName name="QB_DATA_34">#N/A</definedName>
    <definedName name="QB_DATA_35">#N/A</definedName>
    <definedName name="QB_DATA_36">#N/A</definedName>
    <definedName name="QB_DATA_37">#N/A</definedName>
    <definedName name="QB_DATA_38">#N/A</definedName>
    <definedName name="QB_DATA_39">#N/A</definedName>
    <definedName name="QB_DATA_4">#N/A</definedName>
    <definedName name="QB_DATA_40">#N/A</definedName>
    <definedName name="QB_DATA_41">#N/A</definedName>
    <definedName name="QB_DATA_42">#N/A</definedName>
    <definedName name="QB_DATA_43">#N/A</definedName>
    <definedName name="QB_DATA_44">#N/A</definedName>
    <definedName name="QB_DATA_45">#N/A</definedName>
    <definedName name="QB_DATA_46">#N/A</definedName>
    <definedName name="QB_DATA_47">#N/A</definedName>
    <definedName name="QB_DATA_48">#N/A</definedName>
    <definedName name="QB_DATA_49">#N/A</definedName>
    <definedName name="QB_DATA_5">#N/A</definedName>
    <definedName name="QB_DATA_50">#N/A</definedName>
    <definedName name="QB_DATA_51">#N/A</definedName>
    <definedName name="QB_DATA_52">#N/A</definedName>
    <definedName name="QB_DATA_53">#N/A</definedName>
    <definedName name="QB_DATA_54">#N/A</definedName>
    <definedName name="QB_DATA_55">#N/A</definedName>
    <definedName name="QB_DATA_56">#N/A</definedName>
    <definedName name="QB_DATA_57">#N/A</definedName>
    <definedName name="QB_DATA_58">#N/A</definedName>
    <definedName name="QB_DATA_59">#N/A</definedName>
    <definedName name="QB_DATA_6">#N/A</definedName>
    <definedName name="QB_DATA_60">#N/A</definedName>
    <definedName name="QB_DATA_61">#N/A</definedName>
    <definedName name="QB_DATA_62">#N/A</definedName>
    <definedName name="QB_DATA_63">#N/A</definedName>
    <definedName name="QB_DATA_64">#N/A</definedName>
    <definedName name="QB_DATA_65">#N/A</definedName>
    <definedName name="QB_DATA_66">#N/A</definedName>
    <definedName name="QB_DATA_67">#N/A</definedName>
    <definedName name="QB_DATA_68">#N/A</definedName>
    <definedName name="QB_DATA_69">#N/A</definedName>
    <definedName name="QB_DATA_7">#N/A</definedName>
    <definedName name="QB_DATA_70">#N/A</definedName>
    <definedName name="QB_DATA_71">#N/A</definedName>
    <definedName name="QB_DATA_72">#N/A</definedName>
    <definedName name="QB_DATA_73">#N/A</definedName>
    <definedName name="QB_DATA_74">#N/A</definedName>
    <definedName name="QB_DATA_75">#N/A</definedName>
    <definedName name="QB_DATA_76">#N/A</definedName>
    <definedName name="QB_DATA_77">#N/A</definedName>
    <definedName name="QB_DATA_78">#N/A</definedName>
    <definedName name="QB_DATA_79">#N/A</definedName>
    <definedName name="QB_DATA_8">#N/A</definedName>
    <definedName name="QB_DATA_80">#N/A</definedName>
    <definedName name="QB_DATA_81">#N/A</definedName>
    <definedName name="QB_DATA_82">#N/A</definedName>
    <definedName name="QB_DATA_83">#N/A</definedName>
    <definedName name="QB_DATA_84">#N/A</definedName>
    <definedName name="QB_DATA_85">#N/A</definedName>
    <definedName name="QB_DATA_86">#N/A</definedName>
    <definedName name="QB_DATA_87">#N/A</definedName>
    <definedName name="QB_DATA_88">#N/A</definedName>
    <definedName name="QB_DATA_89">#N/A</definedName>
    <definedName name="QB_DATA_9">#N/A</definedName>
    <definedName name="QB_DATA_90">#N/A</definedName>
    <definedName name="QB_DATA_91">#N/A</definedName>
    <definedName name="QB_DATA_92">#N/A</definedName>
    <definedName name="QB_DATA_93">#N/A</definedName>
    <definedName name="QB_DATA_94">#N/A</definedName>
    <definedName name="QB_DATA_95">#N/A</definedName>
    <definedName name="QB_DATA_96">#N/A</definedName>
    <definedName name="QB_DATA_97">#N/A</definedName>
    <definedName name="QB_DATA_98">#N/A</definedName>
    <definedName name="QB_DATA_99">#N/A</definedName>
    <definedName name="QB_FORMULA_0">#N/A</definedName>
    <definedName name="QB_FORMULA_1">#N/A</definedName>
    <definedName name="QB_FORMULA_10">#N/A</definedName>
    <definedName name="QB_FORMULA_100">#N/A</definedName>
    <definedName name="QB_FORMULA_101">#N/A</definedName>
    <definedName name="QB_FORMULA_102">#N/A</definedName>
    <definedName name="QB_FORMULA_103">#N/A</definedName>
    <definedName name="QB_FORMULA_104">#N/A</definedName>
    <definedName name="QB_FORMULA_105">#N/A</definedName>
    <definedName name="QB_FORMULA_106">#N/A</definedName>
    <definedName name="QB_FORMULA_107">#N/A</definedName>
    <definedName name="QB_FORMULA_108">#N/A</definedName>
    <definedName name="QB_FORMULA_109">#N/A</definedName>
    <definedName name="QB_FORMULA_11">#N/A</definedName>
    <definedName name="QB_FORMULA_110">#N/A</definedName>
    <definedName name="QB_FORMULA_111">#N/A</definedName>
    <definedName name="QB_FORMULA_112">#N/A</definedName>
    <definedName name="QB_FORMULA_113">#N/A</definedName>
    <definedName name="QB_FORMULA_114">#N/A</definedName>
    <definedName name="QB_FORMULA_115">#N/A</definedName>
    <definedName name="QB_FORMULA_116">#N/A</definedName>
    <definedName name="QB_FORMULA_117">#N/A</definedName>
    <definedName name="QB_FORMULA_118">#N/A</definedName>
    <definedName name="QB_FORMULA_119">#N/A</definedName>
    <definedName name="QB_FORMULA_12">#N/A</definedName>
    <definedName name="QB_FORMULA_120">#N/A</definedName>
    <definedName name="QB_FORMULA_121">#N/A</definedName>
    <definedName name="QB_FORMULA_122">#N/A</definedName>
    <definedName name="QB_FORMULA_123">#N/A</definedName>
    <definedName name="QB_FORMULA_124">#N/A</definedName>
    <definedName name="QB_FORMULA_125">#N/A</definedName>
    <definedName name="QB_FORMULA_126">#N/A</definedName>
    <definedName name="QB_FORMULA_127">#N/A</definedName>
    <definedName name="QB_FORMULA_128">#N/A</definedName>
    <definedName name="QB_FORMULA_129">#N/A</definedName>
    <definedName name="QB_FORMULA_13">#N/A</definedName>
    <definedName name="QB_FORMULA_130">#N/A</definedName>
    <definedName name="QB_FORMULA_131">#N/A</definedName>
    <definedName name="QB_FORMULA_132">#N/A</definedName>
    <definedName name="QB_FORMULA_133">#N/A</definedName>
    <definedName name="QB_FORMULA_134">#N/A</definedName>
    <definedName name="QB_FORMULA_135">#N/A</definedName>
    <definedName name="QB_FORMULA_136">#N/A</definedName>
    <definedName name="QB_FORMULA_14">#N/A</definedName>
    <definedName name="QB_FORMULA_15">#N/A</definedName>
    <definedName name="QB_FORMULA_16">#N/A</definedName>
    <definedName name="QB_FORMULA_17">#N/A</definedName>
    <definedName name="QB_FORMULA_18">#N/A</definedName>
    <definedName name="QB_FORMULA_19">#N/A</definedName>
    <definedName name="QB_FORMULA_2">#N/A</definedName>
    <definedName name="QB_FORMULA_20">#N/A</definedName>
    <definedName name="QB_FORMULA_21">#N/A</definedName>
    <definedName name="QB_FORMULA_22">#N/A</definedName>
    <definedName name="QB_FORMULA_23">#N/A</definedName>
    <definedName name="QB_FORMULA_24">#N/A</definedName>
    <definedName name="QB_FORMULA_25">#N/A</definedName>
    <definedName name="QB_FORMULA_26">#N/A</definedName>
    <definedName name="QB_FORMULA_27">#N/A</definedName>
    <definedName name="QB_FORMULA_28">#N/A</definedName>
    <definedName name="QB_FORMULA_29">#N/A</definedName>
    <definedName name="QB_FORMULA_3">#N/A</definedName>
    <definedName name="QB_FORMULA_30">#N/A</definedName>
    <definedName name="QB_FORMULA_31">#N/A</definedName>
    <definedName name="QB_FORMULA_32">#N/A</definedName>
    <definedName name="QB_FORMULA_33">#N/A</definedName>
    <definedName name="QB_FORMULA_34">#N/A</definedName>
    <definedName name="QB_FORMULA_35">#N/A</definedName>
    <definedName name="QB_FORMULA_36">#N/A</definedName>
    <definedName name="QB_FORMULA_37">#N/A</definedName>
    <definedName name="QB_FORMULA_38">#N/A</definedName>
    <definedName name="QB_FORMULA_39">#N/A</definedName>
    <definedName name="QB_FORMULA_4">#N/A</definedName>
    <definedName name="QB_FORMULA_40">#N/A</definedName>
    <definedName name="QB_FORMULA_41">#N/A</definedName>
    <definedName name="QB_FORMULA_42">#N/A</definedName>
    <definedName name="QB_FORMULA_43">#N/A</definedName>
    <definedName name="QB_FORMULA_44">#N/A</definedName>
    <definedName name="QB_FORMULA_45">#N/A</definedName>
    <definedName name="QB_FORMULA_46">#N/A</definedName>
    <definedName name="QB_FORMULA_47">#N/A</definedName>
    <definedName name="QB_FORMULA_48">#N/A</definedName>
    <definedName name="QB_FORMULA_49">#N/A</definedName>
    <definedName name="QB_FORMULA_5">#N/A</definedName>
    <definedName name="QB_FORMULA_50">#N/A</definedName>
    <definedName name="QB_FORMULA_51">#N/A</definedName>
    <definedName name="QB_FORMULA_52">#N/A</definedName>
    <definedName name="QB_FORMULA_53">#N/A</definedName>
    <definedName name="QB_FORMULA_54">#N/A</definedName>
    <definedName name="QB_FORMULA_55">#N/A</definedName>
    <definedName name="QB_FORMULA_56">#N/A</definedName>
    <definedName name="QB_FORMULA_57">#N/A</definedName>
    <definedName name="QB_FORMULA_58">#N/A</definedName>
    <definedName name="QB_FORMULA_59">#N/A</definedName>
    <definedName name="QB_FORMULA_6">#N/A</definedName>
    <definedName name="QB_FORMULA_60">#N/A</definedName>
    <definedName name="QB_FORMULA_61">#N/A</definedName>
    <definedName name="QB_FORMULA_62">#N/A</definedName>
    <definedName name="QB_FORMULA_63">#N/A</definedName>
    <definedName name="QB_FORMULA_64">#N/A</definedName>
    <definedName name="QB_FORMULA_65">#N/A</definedName>
    <definedName name="QB_FORMULA_66">#N/A</definedName>
    <definedName name="QB_FORMULA_67">#N/A</definedName>
    <definedName name="QB_FORMULA_68">#N/A</definedName>
    <definedName name="QB_FORMULA_69">#N/A</definedName>
    <definedName name="QB_FORMULA_7">#N/A</definedName>
    <definedName name="QB_FORMULA_70">#N/A</definedName>
    <definedName name="QB_FORMULA_71">#N/A</definedName>
    <definedName name="QB_FORMULA_72">#N/A</definedName>
    <definedName name="QB_FORMULA_73">#N/A</definedName>
    <definedName name="QB_FORMULA_74">#N/A</definedName>
    <definedName name="QB_FORMULA_75">#N/A</definedName>
    <definedName name="QB_FORMULA_76">#N/A</definedName>
    <definedName name="QB_FORMULA_77">#N/A</definedName>
    <definedName name="QB_FORMULA_78">#N/A</definedName>
    <definedName name="QB_FORMULA_79">#N/A</definedName>
    <definedName name="QB_FORMULA_8">#N/A</definedName>
    <definedName name="QB_FORMULA_80">#N/A</definedName>
    <definedName name="QB_FORMULA_81">#N/A</definedName>
    <definedName name="QB_FORMULA_82">#N/A</definedName>
    <definedName name="QB_FORMULA_83">#N/A</definedName>
    <definedName name="QB_FORMULA_84">#N/A</definedName>
    <definedName name="QB_FORMULA_85">#N/A</definedName>
    <definedName name="QB_FORMULA_86">#N/A</definedName>
    <definedName name="QB_FORMULA_87">#N/A</definedName>
    <definedName name="QB_FORMULA_88">#N/A</definedName>
    <definedName name="QB_FORMULA_89">#N/A</definedName>
    <definedName name="QB_FORMULA_9">#N/A</definedName>
    <definedName name="QB_FORMULA_90">#N/A</definedName>
    <definedName name="QB_FORMULA_91">#N/A</definedName>
    <definedName name="QB_FORMULA_92">#N/A</definedName>
    <definedName name="QB_FORMULA_93">#N/A</definedName>
    <definedName name="QB_FORMULA_94">#N/A</definedName>
    <definedName name="QB_FORMULA_95">#N/A</definedName>
    <definedName name="QB_FORMULA_96">#N/A</definedName>
    <definedName name="QB_FORMULA_97">#N/A</definedName>
    <definedName name="QB_FORMULA_98">#N/A</definedName>
    <definedName name="QB_FORMULA_99">#N/A</definedName>
    <definedName name="QB_ROW_174260">'[1]Budget vs Actual Detail'!#REF!</definedName>
    <definedName name="QB_ROW_174350">'[1]Budget vs Actual Summary'!#REF!</definedName>
    <definedName name="QB_ROW_187340">'[1]Budget vs Actual Summary'!#REF!</definedName>
    <definedName name="QB_ROW_206260">'[1]Budget vs Actual Detail'!#REF!</definedName>
    <definedName name="QB_ROW_207260">'[1]Budget vs Actual Detail'!#REF!</definedName>
    <definedName name="QB_ROW_208260">'[1]Budget vs Actual Detail'!#REF!</definedName>
    <definedName name="QB_ROW_209260">'[1]Budget vs Actual Detail'!#REF!</definedName>
    <definedName name="QB_ROW_210260">'[1]Budget vs Actual Detail'!#REF!</definedName>
    <definedName name="QB_ROW_211260">'[1]Budget vs Actual Detail'!#REF!</definedName>
    <definedName name="QB_ROW_214260">'[1]Budget vs Actual Detail'!#REF!</definedName>
    <definedName name="QB_ROW_215260">'[1]Budget vs Actual Detail'!#REF!</definedName>
    <definedName name="QB_ROW_216260">'[1]Budget vs Actual Detail'!#REF!</definedName>
    <definedName name="QB_ROW_217260">'[1]Budget vs Actual Detail'!#REF!</definedName>
    <definedName name="QB_ROW_218260">'[1]Budget vs Actual Detail'!#REF!</definedName>
    <definedName name="QB_ROW_219260">'[1]Budget vs Actual Detail'!#REF!</definedName>
    <definedName name="QB_ROW_220260">'[1]Budget vs Actual Detail'!#REF!</definedName>
    <definedName name="QB_ROW_221260">'[1]Budget vs Actual Detail'!#REF!</definedName>
    <definedName name="QB_ROW_223260">'[1]Budget vs Actual Detail'!#REF!</definedName>
    <definedName name="QB_ROW_225260">'[1]Budget vs Actual Detail'!#REF!</definedName>
    <definedName name="QB_ROW_226260">'[1]Budget vs Actual Detail'!#REF!</definedName>
    <definedName name="QB_ROW_227260">'[1]Budget vs Actual Detail'!#REF!</definedName>
    <definedName name="QB_ROW_228260">'[1]Budget vs Actual Detail'!#REF!</definedName>
    <definedName name="QB_ROW_229260">'[1]Budget vs Actual Detail'!#REF!</definedName>
    <definedName name="QB_ROW_231260">'[1]Budget vs Actual Detail'!#REF!</definedName>
    <definedName name="QB_ROW_232260">'[1]Budget vs Actual Detail'!#REF!</definedName>
    <definedName name="QB_ROW_233260">'[1]Budget vs Actual Detail'!#REF!</definedName>
    <definedName name="QB_ROW_234260">'[1]Budget vs Actual Detail'!#REF!</definedName>
    <definedName name="QB_ROW_235260">'[1]Budget vs Actual Detail'!#REF!</definedName>
    <definedName name="QB_ROW_236260">'[1]Budget vs Actual Detail'!#REF!</definedName>
    <definedName name="QB_ROW_237260">'[1]Budget vs Actual Detail'!#REF!</definedName>
    <definedName name="QB_ROW_241260">'[1]Budget vs Actual Detail'!#REF!</definedName>
    <definedName name="QB_ROW_242260">'[1]Budget vs Actual Detail'!#REF!</definedName>
    <definedName name="QB_ROW_243260">'[1]Budget vs Actual Detail'!#REF!</definedName>
    <definedName name="QB_ROW_244260">'[1]Budget vs Actual Detail'!#REF!</definedName>
    <definedName name="QB_ROW_245260">'[1]Budget vs Actual Detail'!#REF!</definedName>
    <definedName name="QB_ROW_246260">'[1]Budget vs Actual Detail'!#REF!</definedName>
    <definedName name="QB_ROW_247260">'[1]Budget vs Actual Detail'!#REF!</definedName>
    <definedName name="QB_ROW_248260">'[1]Budget vs Actual Detail'!#REF!</definedName>
    <definedName name="QB_ROW_249260">'[1]Budget vs Actual Detail'!#REF!</definedName>
    <definedName name="QB_ROW_250260">'[1]Budget vs Actual Detail'!#REF!</definedName>
    <definedName name="QB_ROW_251260">'[1]Budget vs Actual Detail'!#REF!</definedName>
    <definedName name="QB_ROW_253260">'[1]Budget vs Actual Detail'!#REF!</definedName>
    <definedName name="QB_ROW_254260">'[1]Budget vs Actual Detail'!#REF!</definedName>
    <definedName name="QB_ROW_255260">'[1]Budget vs Actual Detail'!#REF!</definedName>
    <definedName name="QB_ROW_257260">'[1]Budget vs Actual Detail'!#REF!</definedName>
    <definedName name="QB_ROW_258260">'[1]Budget vs Actual Detail'!#REF!</definedName>
    <definedName name="QB_ROW_259260">'[1]Budget vs Actual Detail'!#REF!</definedName>
    <definedName name="QB_ROW_260260">'[1]Budget vs Actual Detail'!#REF!</definedName>
    <definedName name="QB_ROW_261260">'[1]Budget vs Actual Detail'!#REF!</definedName>
    <definedName name="QB_ROW_263260">'[1]Budget vs Actual Detail'!#REF!</definedName>
    <definedName name="QB_ROW_264260">'[1]Budget vs Actual Detail'!#REF!</definedName>
    <definedName name="QB_ROW_265260">'[1]Budget vs Actual Detail'!#REF!</definedName>
    <definedName name="QB_ROW_267260">'[1]Budget vs Actual Detail'!#REF!</definedName>
    <definedName name="QB_ROW_270260">'[1]Budget vs Actual Detail'!#REF!</definedName>
    <definedName name="QB_ROW_273260">'[1]Budget vs Actual Detail'!#REF!</definedName>
    <definedName name="QB_ROW_279260">'[1]Budget vs Actual Detail'!#REF!</definedName>
    <definedName name="QB_ROW_281260">'[1]Budget vs Actual Detail'!#REF!</definedName>
    <definedName name="QB_ROW_282260">'[1]Budget vs Actual Detail'!#REF!</definedName>
    <definedName name="QB_ROW_283260">'[1]Budget vs Actual Detail'!#REF!</definedName>
    <definedName name="QB_ROW_284260">'[1]Budget vs Actual Detail'!#REF!</definedName>
    <definedName name="QB_ROW_285260">'[1]Budget vs Actual Detail'!#REF!</definedName>
    <definedName name="QB_ROW_286260">'[1]Budget vs Actual Detail'!#REF!</definedName>
    <definedName name="QB_ROW_287260">'[1]Budget vs Actual Detail'!#REF!</definedName>
    <definedName name="QB_ROW_289260">'[1]Budget vs Actual Detail'!#REF!</definedName>
    <definedName name="QB_ROW_290260">'[1]Budget vs Actual Detail'!#REF!</definedName>
    <definedName name="QB_ROW_292260">'[1]Budget vs Actual Detail'!#REF!</definedName>
    <definedName name="QB_ROW_293260">'[1]Budget vs Actual Detail'!#REF!</definedName>
    <definedName name="QB_ROW_294260">'[1]Budget vs Actual Detail'!#REF!</definedName>
    <definedName name="QB_ROW_296260">'[1]Budget vs Actual Detail'!#REF!</definedName>
    <definedName name="QB_ROW_297260">'[1]Budget vs Actual Detail'!#REF!</definedName>
    <definedName name="QB_ROW_299260">'[1]Budget vs Actual Detail'!#REF!</definedName>
    <definedName name="QB_ROW_306260">'[1]Budget vs Actual Detail'!#REF!</definedName>
    <definedName name="QB_ROW_307260">'[1]Budget vs Actual Detail'!#REF!</definedName>
    <definedName name="QB_ROW_308260">'[1]Budget vs Actual Detail'!#REF!</definedName>
    <definedName name="QB_ROW_316260">'[1]Budget vs Actual Detail'!#REF!</definedName>
    <definedName name="QB_ROW_324260">'[1]Budget vs Actual Detail'!#REF!</definedName>
    <definedName name="QB_ROW_325260">'[1]Budget vs Actual Detail'!#REF!</definedName>
    <definedName name="QB_ROW_326260">'[1]Budget vs Actual Detail'!#REF!</definedName>
    <definedName name="QB_ROW_327260">'[1]Budget vs Actual Detail'!#REF!</definedName>
    <definedName name="QB_ROW_328260">'[1]Budget vs Actual Detail'!#REF!</definedName>
    <definedName name="QB_ROW_329260">'[1]Budget vs Actual Detail'!#REF!</definedName>
    <definedName name="QB_ROW_330260">'[1]Budget vs Actual Detail'!#REF!</definedName>
    <definedName name="QB_ROW_331260">'[1]Budget vs Actual Detail'!#REF!</definedName>
    <definedName name="QB_ROW_332260">'[1]Budget vs Actual Detail'!#REF!</definedName>
    <definedName name="QB_ROW_333260">'[1]Budget vs Actual Detail'!#REF!</definedName>
    <definedName name="QB_ROW_334260">'[1]Budget vs Actual Detail'!#REF!</definedName>
    <definedName name="QB_ROW_335260">'[1]Budget vs Actual Detail'!#REF!</definedName>
    <definedName name="QB_ROW_336260">'[1]Budget vs Actual Detail'!#REF!</definedName>
    <definedName name="QB_ROW_337260">'[1]Budget vs Actual Detail'!#REF!</definedName>
    <definedName name="QB_ROW_338260">'[1]Budget vs Actual Detail'!#REF!</definedName>
    <definedName name="QB_ROW_340260">'[1]Budget vs Actual Detail'!#REF!</definedName>
    <definedName name="QB_ROW_341260">'[1]Budget vs Actual Detail'!#REF!</definedName>
    <definedName name="QB_ROW_342260">'[1]Budget vs Actual Detail'!#REF!</definedName>
    <definedName name="QB_ROW_343260">'[1]Budget vs Actual Detail'!#REF!</definedName>
    <definedName name="QB_ROW_344260">'[1]Budget vs Actual Detail'!#REF!</definedName>
    <definedName name="QB_ROW_345260">'[1]Budget vs Actual Detail'!#REF!</definedName>
    <definedName name="QB_ROW_348260">'[1]Budget vs Actual Detail'!#REF!</definedName>
    <definedName name="QB_ROW_348350">'[1]Budget vs Actual Summary'!#REF!</definedName>
    <definedName name="QB_ROW_352260">'[1]Budget vs Actual Detail'!#REF!</definedName>
    <definedName name="QB_ROW_373260">'[1]Budget vs Actual Detail'!#REF!</definedName>
    <definedName name="QB_ROW_378260">'[1]Budget vs Actual Detail'!#REF!</definedName>
    <definedName name="QB_ROW_431260">'[1]Budget vs Actual Detail'!#REF!</definedName>
    <definedName name="QB_ROW_434260">'[1]Budget vs Actual Detail'!#REF!</definedName>
    <definedName name="QB_ROW_435260">'[1]Budget vs Actual Detail'!#REF!</definedName>
    <definedName name="QB_ROW_436260">'[1]Budget vs Actual Detail'!#REF!</definedName>
    <definedName name="QB_ROW_438260">'[1]Budget vs Actual Detail'!#REF!</definedName>
    <definedName name="QB_ROW_453260">'[1]Budget vs Actual Detail'!#REF!</definedName>
    <definedName name="QB_ROW_454260">'[1]Budget vs Actual Detail'!#REF!</definedName>
    <definedName name="QB_ROW_455260">'[1]Budget vs Actual Detail'!#REF!</definedName>
    <definedName name="QB_ROW_473260">'[1]Budget vs Actual Detail'!#REF!</definedName>
    <definedName name="QB_ROW_474260">'[1]Budget vs Actual Detail'!#REF!</definedName>
    <definedName name="QB_ROW_475260">'[1]Budget vs Actual Detail'!#REF!</definedName>
    <definedName name="QB_ROW_476260">'[1]Budget vs Actual Detail'!#REF!</definedName>
    <definedName name="QB_ROW_479260">'[1]Budget vs Actual Detail'!#REF!</definedName>
    <definedName name="QB_ROW_480260">'[1]Budget vs Actual Detail'!#REF!</definedName>
    <definedName name="QB_ROW_483260">'[1]Budget vs Actual Detail'!#REF!</definedName>
    <definedName name="QB_ROW_485260">'[1]Budget vs Actual Detail'!#REF!</definedName>
    <definedName name="QB_SUBTITLE_3">#REF!</definedName>
    <definedName name="QB_TITLE_2">#REF!</definedName>
    <definedName name="QBCANSUPPORTUPDATE">1</definedName>
    <definedName name="QBCOMPANYFILENAME">"T:\BrightenAcademy\Brighten Academy, Inc..QBW"</definedName>
    <definedName name="QBENDDATE">20171031</definedName>
    <definedName name="QBHEADERSONSCREEN">1</definedName>
    <definedName name="QBMETADATASIZE">5892</definedName>
    <definedName name="QBPRESERVECOLOR">1</definedName>
    <definedName name="QBPRESERVEFONT">1</definedName>
    <definedName name="QBPRESERVEROWHEIGHT">1</definedName>
    <definedName name="QBPRESERVESPACE">1</definedName>
    <definedName name="QBREPORTCOLAXIS">19</definedName>
    <definedName name="QBREPORTCOMPANYID">"2e412e14beff4dfe92d8c84093aecdeb"</definedName>
    <definedName name="QBREPORTCOMPARECOL_ANNUALBUDGET">0</definedName>
    <definedName name="QBREPORTCOMPARECOL_AVGCOGS">0</definedName>
    <definedName name="QBREPORTCOMPARECOL_AVGPRICE">0</definedName>
    <definedName name="QBREPORTCOMPARECOL_BUDDIFF">0</definedName>
    <definedName name="QBREPORTCOMPARECOL_BUDGET">0</definedName>
    <definedName name="QBREPORTCOMPARECOL_BUDPCT">0</definedName>
    <definedName name="QBREPORTCOMPARECOL_COGS">0</definedName>
    <definedName name="QBREPORTCOMPARECOL_EXCLUDEAMOUNT">0</definedName>
    <definedName name="QBREPORTCOMPARECOL_EXCLUDECURPERIOD">0</definedName>
    <definedName name="QBREPORTCOMPARECOL_FORECAST">0</definedName>
    <definedName name="QBREPORTCOMPARECOL_GROSSMARGIN">0</definedName>
    <definedName name="QBREPORTCOMPARECOL_GROSSMARGINPCT">0</definedName>
    <definedName name="QBREPORTCOMPARECOL_HOURS">0</definedName>
    <definedName name="QBREPORTCOMPARECOL_PCTCOL">0</definedName>
    <definedName name="QBREPORTCOMPARECOL_PCTEXPENSE">0</definedName>
    <definedName name="QBREPORTCOMPARECOL_PCTINCOME">0</definedName>
    <definedName name="QBREPORTCOMPARECOL_PCTOFSALES">0</definedName>
    <definedName name="QBREPORTCOMPARECOL_PCTROW">0</definedName>
    <definedName name="QBREPORTCOMPARECOL_PPDIFF">0</definedName>
    <definedName name="QBREPORTCOMPARECOL_PPPCT">0</definedName>
    <definedName name="QBREPORTCOMPARECOL_PREVPERIOD">0</definedName>
    <definedName name="QBREPORTCOMPARECOL_PREVYEAR">0</definedName>
    <definedName name="QBREPORTCOMPARECOL_PYDIFF">0</definedName>
    <definedName name="QBREPORTCOMPARECOL_PYPCT">0</definedName>
    <definedName name="QBREPORTCOMPARECOL_QTY">0</definedName>
    <definedName name="QBREPORTCOMPARECOL_RATE">0</definedName>
    <definedName name="QBREPORTCOMPARECOL_TRIPBILLEDMILES">0</definedName>
    <definedName name="QBREPORTCOMPARECOL_TRIPBILLINGAMOUNT">0</definedName>
    <definedName name="QBREPORTCOMPARECOL_TRIPMILES">0</definedName>
    <definedName name="QBREPORTCOMPARECOL_TRIPNOTBILLABLEMILES">0</definedName>
    <definedName name="QBREPORTCOMPARECOL_TRIPTAXDEDUCTIBLEAMOUNT">0</definedName>
    <definedName name="QBREPORTCOMPARECOL_TRIPUNBILLEDMILES">0</definedName>
    <definedName name="QBREPORTCOMPARECOL_YTD">0</definedName>
    <definedName name="QBREPORTCOMPARECOL_YTDBUDGET">0</definedName>
    <definedName name="QBREPORTCOMPARECOL_YTDPCT">0</definedName>
    <definedName name="QBREPORTROWAXIS">11</definedName>
    <definedName name="QBREPORTSUBCOLAXIS">0</definedName>
    <definedName name="QBREPORTTYPE">3</definedName>
    <definedName name="QBROWHEADERS">7</definedName>
    <definedName name="QBSTARTDATE">20170701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4" i="5" l="1"/>
  <c r="H33" i="5"/>
  <c r="H23" i="5"/>
  <c r="H34" i="5"/>
  <c r="H31" i="5"/>
  <c r="H29" i="5"/>
  <c r="H25" i="5"/>
  <c r="H24" i="5"/>
  <c r="H22" i="5"/>
  <c r="H21" i="5"/>
  <c r="H20" i="5"/>
  <c r="H18" i="5"/>
  <c r="H17" i="5"/>
  <c r="H19" i="5"/>
  <c r="H27" i="5"/>
  <c r="H28" i="5"/>
  <c r="H32" i="5"/>
  <c r="H16" i="5"/>
  <c r="Q196" i="7"/>
  <c r="Q195" i="7"/>
  <c r="K194" i="7"/>
  <c r="J194" i="7"/>
  <c r="I194" i="7"/>
  <c r="Q193" i="7"/>
  <c r="H193" i="7"/>
  <c r="E193" i="7"/>
  <c r="D193" i="7"/>
  <c r="Q192" i="7"/>
  <c r="K192" i="7"/>
  <c r="J192" i="7"/>
  <c r="I192" i="7"/>
  <c r="H192" i="7"/>
  <c r="G192" i="7"/>
  <c r="Q191" i="7"/>
  <c r="I191" i="7"/>
  <c r="Q190" i="7"/>
  <c r="G190" i="7"/>
  <c r="G193" i="7" s="1"/>
  <c r="F190" i="7"/>
  <c r="F193" i="7" s="1"/>
  <c r="E190" i="7"/>
  <c r="D190" i="7"/>
  <c r="C190" i="7"/>
  <c r="C193" i="7" s="1"/>
  <c r="B190" i="7"/>
  <c r="B193" i="7" s="1"/>
  <c r="K189" i="7"/>
  <c r="K193" i="7" s="1"/>
  <c r="J189" i="7"/>
  <c r="J193" i="7" s="1"/>
  <c r="I189" i="7"/>
  <c r="I193" i="7" s="1"/>
  <c r="H189" i="7"/>
  <c r="E188" i="7"/>
  <c r="D188" i="7"/>
  <c r="C188" i="7"/>
  <c r="B188" i="7"/>
  <c r="Q187" i="7"/>
  <c r="G186" i="7"/>
  <c r="F186" i="7"/>
  <c r="E186" i="7"/>
  <c r="D186" i="7"/>
  <c r="C186" i="7"/>
  <c r="B186" i="7"/>
  <c r="Q185" i="7"/>
  <c r="K185" i="7"/>
  <c r="G185" i="7"/>
  <c r="D185" i="7"/>
  <c r="C185" i="7"/>
  <c r="Q184" i="7"/>
  <c r="K184" i="7"/>
  <c r="J184" i="7"/>
  <c r="G184" i="7"/>
  <c r="F184" i="7"/>
  <c r="E184" i="7"/>
  <c r="C184" i="7"/>
  <c r="K183" i="7"/>
  <c r="J183" i="7"/>
  <c r="I183" i="7"/>
  <c r="H183" i="7"/>
  <c r="G183" i="7"/>
  <c r="F183" i="7"/>
  <c r="E183" i="7"/>
  <c r="B183" i="7"/>
  <c r="B185" i="7" s="1"/>
  <c r="J182" i="7"/>
  <c r="I182" i="7"/>
  <c r="G182" i="7"/>
  <c r="F182" i="7"/>
  <c r="E182" i="7"/>
  <c r="J181" i="7"/>
  <c r="I181" i="7"/>
  <c r="I185" i="7" s="1"/>
  <c r="F181" i="7"/>
  <c r="E181" i="7"/>
  <c r="E185" i="7" s="1"/>
  <c r="K180" i="7"/>
  <c r="J180" i="7"/>
  <c r="J185" i="7" s="1"/>
  <c r="H180" i="7"/>
  <c r="H185" i="7" s="1"/>
  <c r="G180" i="7"/>
  <c r="F180" i="7"/>
  <c r="F185" i="7" s="1"/>
  <c r="Q178" i="7"/>
  <c r="K178" i="7"/>
  <c r="G178" i="7"/>
  <c r="D178" i="7"/>
  <c r="C178" i="7"/>
  <c r="I177" i="7"/>
  <c r="K176" i="7"/>
  <c r="J176" i="7"/>
  <c r="J178" i="7" s="1"/>
  <c r="I176" i="7"/>
  <c r="K175" i="7"/>
  <c r="D175" i="7"/>
  <c r="C175" i="7"/>
  <c r="B175" i="7"/>
  <c r="B178" i="7" s="1"/>
  <c r="Q174" i="7"/>
  <c r="K174" i="7"/>
  <c r="H174" i="7"/>
  <c r="H178" i="7" s="1"/>
  <c r="G174" i="7"/>
  <c r="F174" i="7"/>
  <c r="F178" i="7" s="1"/>
  <c r="E174" i="7"/>
  <c r="E178" i="7" s="1"/>
  <c r="C174" i="7"/>
  <c r="I173" i="7"/>
  <c r="I178" i="7" s="1"/>
  <c r="Q171" i="7"/>
  <c r="Q170" i="7"/>
  <c r="K170" i="7"/>
  <c r="J170" i="7"/>
  <c r="I170" i="7"/>
  <c r="H170" i="7"/>
  <c r="G170" i="7"/>
  <c r="F170" i="7"/>
  <c r="E170" i="7"/>
  <c r="D170" i="7"/>
  <c r="C170" i="7"/>
  <c r="B170" i="7"/>
  <c r="Q169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Q167" i="7"/>
  <c r="B167" i="7"/>
  <c r="K166" i="7"/>
  <c r="J166" i="7"/>
  <c r="B166" i="7"/>
  <c r="Q165" i="7"/>
  <c r="K165" i="7"/>
  <c r="J165" i="7"/>
  <c r="I165" i="7"/>
  <c r="H165" i="7"/>
  <c r="Q164" i="7"/>
  <c r="K164" i="7"/>
  <c r="G164" i="7"/>
  <c r="C164" i="7"/>
  <c r="Q163" i="7"/>
  <c r="Q162" i="7"/>
  <c r="H162" i="7"/>
  <c r="H164" i="7" s="1"/>
  <c r="G162" i="7"/>
  <c r="F162" i="7"/>
  <c r="E162" i="7"/>
  <c r="D162" i="7"/>
  <c r="D164" i="7" s="1"/>
  <c r="C162" i="7"/>
  <c r="B162" i="7"/>
  <c r="Q161" i="7"/>
  <c r="J161" i="7"/>
  <c r="I161" i="7"/>
  <c r="H161" i="7"/>
  <c r="G161" i="7"/>
  <c r="F161" i="7"/>
  <c r="E161" i="7"/>
  <c r="D161" i="7"/>
  <c r="C161" i="7"/>
  <c r="B161" i="7"/>
  <c r="Q160" i="7"/>
  <c r="K160" i="7"/>
  <c r="J160" i="7"/>
  <c r="J164" i="7" s="1"/>
  <c r="I160" i="7"/>
  <c r="I164" i="7" s="1"/>
  <c r="H160" i="7"/>
  <c r="G160" i="7"/>
  <c r="F160" i="7"/>
  <c r="F164" i="7" s="1"/>
  <c r="E160" i="7"/>
  <c r="E164" i="7" s="1"/>
  <c r="D160" i="7"/>
  <c r="C160" i="7"/>
  <c r="B160" i="7"/>
  <c r="B164" i="7" s="1"/>
  <c r="K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Q156" i="7"/>
  <c r="D156" i="7"/>
  <c r="Q155" i="7"/>
  <c r="K155" i="7"/>
  <c r="J155" i="7"/>
  <c r="I155" i="7"/>
  <c r="H155" i="7"/>
  <c r="G155" i="7"/>
  <c r="F155" i="7"/>
  <c r="E155" i="7"/>
  <c r="D155" i="7"/>
  <c r="C155" i="7"/>
  <c r="B155" i="7"/>
  <c r="Q154" i="7"/>
  <c r="K154" i="7"/>
  <c r="J154" i="7"/>
  <c r="I154" i="7"/>
  <c r="H154" i="7"/>
  <c r="G154" i="7"/>
  <c r="F154" i="7"/>
  <c r="E154" i="7"/>
  <c r="D154" i="7"/>
  <c r="C154" i="7"/>
  <c r="Q153" i="7"/>
  <c r="K153" i="7"/>
  <c r="J153" i="7"/>
  <c r="I153" i="7"/>
  <c r="I156" i="7" s="1"/>
  <c r="H153" i="7"/>
  <c r="H156" i="7" s="1"/>
  <c r="G153" i="7"/>
  <c r="F153" i="7"/>
  <c r="E153" i="7"/>
  <c r="D153" i="7"/>
  <c r="C153" i="7"/>
  <c r="B153" i="7"/>
  <c r="Q152" i="7"/>
  <c r="J152" i="7"/>
  <c r="H152" i="7"/>
  <c r="F152" i="7"/>
  <c r="F156" i="7" s="1"/>
  <c r="E152" i="7"/>
  <c r="E156" i="7" s="1"/>
  <c r="C152" i="7"/>
  <c r="B152" i="7"/>
  <c r="Q151" i="7"/>
  <c r="K151" i="7"/>
  <c r="K156" i="7" s="1"/>
  <c r="J151" i="7"/>
  <c r="J156" i="7" s="1"/>
  <c r="J171" i="7" s="1"/>
  <c r="I151" i="7"/>
  <c r="G151" i="7"/>
  <c r="G156" i="7" s="1"/>
  <c r="D151" i="7"/>
  <c r="C151" i="7"/>
  <c r="C156" i="7" s="1"/>
  <c r="C171" i="7" s="1"/>
  <c r="B151" i="7"/>
  <c r="B156" i="7" s="1"/>
  <c r="K150" i="7"/>
  <c r="J149" i="7"/>
  <c r="B147" i="7"/>
  <c r="Q145" i="7"/>
  <c r="J144" i="7"/>
  <c r="I143" i="7"/>
  <c r="K141" i="7"/>
  <c r="J141" i="7"/>
  <c r="I141" i="7"/>
  <c r="H141" i="7"/>
  <c r="E141" i="7"/>
  <c r="D141" i="7"/>
  <c r="Q140" i="7"/>
  <c r="I140" i="7"/>
  <c r="I145" i="7" s="1"/>
  <c r="H140" i="7"/>
  <c r="D140" i="7"/>
  <c r="B140" i="7"/>
  <c r="Q139" i="7"/>
  <c r="Q138" i="7"/>
  <c r="J138" i="7"/>
  <c r="I138" i="7"/>
  <c r="F138" i="7"/>
  <c r="Q137" i="7"/>
  <c r="E137" i="7"/>
  <c r="I136" i="7"/>
  <c r="Q135" i="7"/>
  <c r="K135" i="7"/>
  <c r="J135" i="7"/>
  <c r="J140" i="7" s="1"/>
  <c r="I135" i="7"/>
  <c r="G135" i="7"/>
  <c r="F135" i="7"/>
  <c r="F140" i="7" s="1"/>
  <c r="D135" i="7"/>
  <c r="C135" i="7"/>
  <c r="C140" i="7" s="1"/>
  <c r="Q134" i="7"/>
  <c r="K134" i="7"/>
  <c r="K140" i="7" s="1"/>
  <c r="H134" i="7"/>
  <c r="G134" i="7"/>
  <c r="G140" i="7" s="1"/>
  <c r="E134" i="7"/>
  <c r="E140" i="7" s="1"/>
  <c r="E145" i="7" s="1"/>
  <c r="D134" i="7"/>
  <c r="K133" i="7"/>
  <c r="Q132" i="7"/>
  <c r="K132" i="7"/>
  <c r="J132" i="7"/>
  <c r="I132" i="7"/>
  <c r="H132" i="7"/>
  <c r="G132" i="7"/>
  <c r="F132" i="7"/>
  <c r="F145" i="7" s="1"/>
  <c r="E132" i="7"/>
  <c r="D132" i="7"/>
  <c r="C132" i="7"/>
  <c r="B132" i="7"/>
  <c r="B145" i="7" s="1"/>
  <c r="Q130" i="7"/>
  <c r="Q129" i="7"/>
  <c r="H129" i="7"/>
  <c r="Q128" i="7"/>
  <c r="Q127" i="7"/>
  <c r="H127" i="7"/>
  <c r="F127" i="7"/>
  <c r="E127" i="7"/>
  <c r="D127" i="7"/>
  <c r="C127" i="7"/>
  <c r="B127" i="7"/>
  <c r="I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H124" i="7"/>
  <c r="G124" i="7"/>
  <c r="F124" i="7"/>
  <c r="E124" i="7"/>
  <c r="E129" i="7" s="1"/>
  <c r="D124" i="7"/>
  <c r="D129" i="7" s="1"/>
  <c r="B124" i="7"/>
  <c r="K123" i="7"/>
  <c r="J123" i="7"/>
  <c r="J129" i="7" s="1"/>
  <c r="I123" i="7"/>
  <c r="I129" i="7" s="1"/>
  <c r="G123" i="7"/>
  <c r="G129" i="7" s="1"/>
  <c r="F123" i="7"/>
  <c r="F129" i="7" s="1"/>
  <c r="D123" i="7"/>
  <c r="C123" i="7"/>
  <c r="C129" i="7" s="1"/>
  <c r="B123" i="7"/>
  <c r="B129" i="7" s="1"/>
  <c r="I122" i="7"/>
  <c r="C122" i="7"/>
  <c r="J121" i="7"/>
  <c r="C121" i="7"/>
  <c r="K120" i="7"/>
  <c r="K119" i="7"/>
  <c r="J119" i="7"/>
  <c r="I119" i="7"/>
  <c r="H119" i="7"/>
  <c r="G119" i="7"/>
  <c r="E119" i="7"/>
  <c r="D119" i="7"/>
  <c r="B119" i="7"/>
  <c r="Q117" i="7"/>
  <c r="K117" i="7"/>
  <c r="J117" i="7"/>
  <c r="H117" i="7"/>
  <c r="G117" i="7"/>
  <c r="E117" i="7"/>
  <c r="D117" i="7"/>
  <c r="B117" i="7"/>
  <c r="F116" i="7"/>
  <c r="F117" i="7" s="1"/>
  <c r="D116" i="7"/>
  <c r="C116" i="7"/>
  <c r="C117" i="7" s="1"/>
  <c r="Q115" i="7"/>
  <c r="I115" i="7"/>
  <c r="I117" i="7" s="1"/>
  <c r="J113" i="7"/>
  <c r="G113" i="7"/>
  <c r="F113" i="7"/>
  <c r="B113" i="7"/>
  <c r="K112" i="7"/>
  <c r="J112" i="7"/>
  <c r="H112" i="7"/>
  <c r="D112" i="7"/>
  <c r="K111" i="7"/>
  <c r="J111" i="7"/>
  <c r="I111" i="7"/>
  <c r="I113" i="7" s="1"/>
  <c r="H111" i="7"/>
  <c r="G111" i="7"/>
  <c r="E111" i="7"/>
  <c r="E113" i="7" s="1"/>
  <c r="D111" i="7"/>
  <c r="C111" i="7"/>
  <c r="C113" i="7" s="1"/>
  <c r="B111" i="7"/>
  <c r="J110" i="7"/>
  <c r="H110" i="7"/>
  <c r="K108" i="7"/>
  <c r="K113" i="7" s="1"/>
  <c r="J107" i="7"/>
  <c r="I107" i="7"/>
  <c r="H107" i="7"/>
  <c r="G107" i="7"/>
  <c r="F107" i="7"/>
  <c r="E107" i="7"/>
  <c r="D107" i="7"/>
  <c r="C107" i="7"/>
  <c r="B107" i="7"/>
  <c r="Q106" i="7"/>
  <c r="K106" i="7"/>
  <c r="J106" i="7"/>
  <c r="G106" i="7"/>
  <c r="F106" i="7"/>
  <c r="B106" i="7"/>
  <c r="Q105" i="7"/>
  <c r="K105" i="7"/>
  <c r="I105" i="7"/>
  <c r="I106" i="7" s="1"/>
  <c r="H105" i="7"/>
  <c r="H106" i="7" s="1"/>
  <c r="F105" i="7"/>
  <c r="E105" i="7"/>
  <c r="D105" i="7"/>
  <c r="C105" i="7"/>
  <c r="C106" i="7" s="1"/>
  <c r="B105" i="7"/>
  <c r="B104" i="7"/>
  <c r="J103" i="7"/>
  <c r="Q102" i="7"/>
  <c r="J102" i="7"/>
  <c r="G102" i="7"/>
  <c r="E102" i="7"/>
  <c r="E106" i="7" s="1"/>
  <c r="D102" i="7"/>
  <c r="D106" i="7" s="1"/>
  <c r="C102" i="7"/>
  <c r="B102" i="7"/>
  <c r="K101" i="7"/>
  <c r="J101" i="7"/>
  <c r="K100" i="7"/>
  <c r="H100" i="7"/>
  <c r="G100" i="7"/>
  <c r="E100" i="7"/>
  <c r="D100" i="7"/>
  <c r="C100" i="7"/>
  <c r="B100" i="7"/>
  <c r="Q99" i="7"/>
  <c r="K99" i="7"/>
  <c r="J99" i="7"/>
  <c r="I99" i="7"/>
  <c r="H99" i="7"/>
  <c r="G99" i="7"/>
  <c r="F99" i="7"/>
  <c r="E99" i="7"/>
  <c r="D99" i="7"/>
  <c r="C99" i="7"/>
  <c r="B99" i="7"/>
  <c r="E98" i="7"/>
  <c r="D98" i="7"/>
  <c r="C98" i="7"/>
  <c r="B98" i="7"/>
  <c r="Q97" i="7"/>
  <c r="K97" i="7"/>
  <c r="J97" i="7"/>
  <c r="I97" i="7"/>
  <c r="H97" i="7"/>
  <c r="Q96" i="7"/>
  <c r="K96" i="7"/>
  <c r="J96" i="7"/>
  <c r="I96" i="7"/>
  <c r="H96" i="7"/>
  <c r="G96" i="7"/>
  <c r="F96" i="7"/>
  <c r="E96" i="7"/>
  <c r="D96" i="7"/>
  <c r="C96" i="7"/>
  <c r="B96" i="7"/>
  <c r="Q95" i="7"/>
  <c r="K95" i="7"/>
  <c r="J95" i="7"/>
  <c r="I95" i="7"/>
  <c r="H95" i="7"/>
  <c r="G95" i="7"/>
  <c r="F95" i="7"/>
  <c r="E95" i="7"/>
  <c r="D95" i="7"/>
  <c r="C95" i="7"/>
  <c r="Q94" i="7"/>
  <c r="K94" i="7"/>
  <c r="J94" i="7"/>
  <c r="I94" i="7"/>
  <c r="H94" i="7"/>
  <c r="G94" i="7"/>
  <c r="F94" i="7"/>
  <c r="E94" i="7"/>
  <c r="E130" i="7" s="1"/>
  <c r="D94" i="7"/>
  <c r="C94" i="7"/>
  <c r="B94" i="7"/>
  <c r="Q93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Q90" i="7"/>
  <c r="H90" i="7"/>
  <c r="G90" i="7"/>
  <c r="C90" i="7"/>
  <c r="J89" i="7"/>
  <c r="D88" i="7"/>
  <c r="K87" i="7"/>
  <c r="J87" i="7"/>
  <c r="H87" i="7"/>
  <c r="D87" i="7"/>
  <c r="K86" i="7"/>
  <c r="J86" i="7"/>
  <c r="I86" i="7"/>
  <c r="E86" i="7"/>
  <c r="D86" i="7"/>
  <c r="D90" i="7" s="1"/>
  <c r="C86" i="7"/>
  <c r="I85" i="7"/>
  <c r="I84" i="7"/>
  <c r="K83" i="7"/>
  <c r="K90" i="7" s="1"/>
  <c r="J83" i="7"/>
  <c r="I83" i="7"/>
  <c r="K82" i="7"/>
  <c r="J82" i="7"/>
  <c r="H82" i="7"/>
  <c r="Q81" i="7"/>
  <c r="K81" i="7"/>
  <c r="J81" i="7"/>
  <c r="J90" i="7" s="1"/>
  <c r="I81" i="7"/>
  <c r="I90" i="7" s="1"/>
  <c r="H81" i="7"/>
  <c r="G81" i="7"/>
  <c r="F81" i="7"/>
  <c r="F90" i="7" s="1"/>
  <c r="E81" i="7"/>
  <c r="E90" i="7" s="1"/>
  <c r="D81" i="7"/>
  <c r="C81" i="7"/>
  <c r="B81" i="7"/>
  <c r="B90" i="7" s="1"/>
  <c r="Q80" i="7"/>
  <c r="Q78" i="7"/>
  <c r="J78" i="7"/>
  <c r="F78" i="7"/>
  <c r="B78" i="7"/>
  <c r="D77" i="7"/>
  <c r="K76" i="7"/>
  <c r="F76" i="7"/>
  <c r="K75" i="7"/>
  <c r="H74" i="7"/>
  <c r="G74" i="7"/>
  <c r="E74" i="7"/>
  <c r="D74" i="7"/>
  <c r="C74" i="7"/>
  <c r="B74" i="7"/>
  <c r="Q73" i="7"/>
  <c r="K73" i="7"/>
  <c r="K78" i="7" s="1"/>
  <c r="J73" i="7"/>
  <c r="I73" i="7"/>
  <c r="I78" i="7" s="1"/>
  <c r="H73" i="7"/>
  <c r="H78" i="7" s="1"/>
  <c r="G73" i="7"/>
  <c r="G78" i="7" s="1"/>
  <c r="F73" i="7"/>
  <c r="E73" i="7"/>
  <c r="D73" i="7"/>
  <c r="D78" i="7" s="1"/>
  <c r="C73" i="7"/>
  <c r="C78" i="7" s="1"/>
  <c r="B73" i="7"/>
  <c r="Q71" i="7"/>
  <c r="K71" i="7"/>
  <c r="J71" i="7"/>
  <c r="H71" i="7"/>
  <c r="G71" i="7"/>
  <c r="F71" i="7"/>
  <c r="E71" i="7"/>
  <c r="C71" i="7"/>
  <c r="B71" i="7"/>
  <c r="I70" i="7"/>
  <c r="I71" i="7" s="1"/>
  <c r="Q69" i="7"/>
  <c r="F69" i="7"/>
  <c r="D69" i="7"/>
  <c r="D71" i="7" s="1"/>
  <c r="C69" i="7"/>
  <c r="Q67" i="7"/>
  <c r="Q66" i="7"/>
  <c r="K66" i="7"/>
  <c r="H66" i="7"/>
  <c r="C66" i="7"/>
  <c r="Q65" i="7"/>
  <c r="K65" i="7"/>
  <c r="J65" i="7"/>
  <c r="J64" i="7"/>
  <c r="F64" i="7"/>
  <c r="E64" i="7"/>
  <c r="J63" i="7"/>
  <c r="I63" i="7"/>
  <c r="H63" i="7"/>
  <c r="G63" i="7"/>
  <c r="G66" i="7" s="1"/>
  <c r="F63" i="7"/>
  <c r="E63" i="7"/>
  <c r="D63" i="7"/>
  <c r="C63" i="7"/>
  <c r="B63" i="7"/>
  <c r="Q62" i="7"/>
  <c r="J62" i="7"/>
  <c r="I62" i="7"/>
  <c r="H62" i="7"/>
  <c r="G62" i="7"/>
  <c r="F62" i="7"/>
  <c r="E62" i="7"/>
  <c r="D62" i="7"/>
  <c r="D66" i="7" s="1"/>
  <c r="B62" i="7"/>
  <c r="K61" i="7"/>
  <c r="I60" i="7"/>
  <c r="Q59" i="7"/>
  <c r="Q58" i="7"/>
  <c r="K58" i="7"/>
  <c r="J58" i="7"/>
  <c r="J66" i="7" s="1"/>
  <c r="I58" i="7"/>
  <c r="H58" i="7"/>
  <c r="G58" i="7"/>
  <c r="F58" i="7"/>
  <c r="F66" i="7" s="1"/>
  <c r="E58" i="7"/>
  <c r="D58" i="7"/>
  <c r="C58" i="7"/>
  <c r="B58" i="7"/>
  <c r="B66" i="7" s="1"/>
  <c r="Q56" i="7"/>
  <c r="Q54" i="7"/>
  <c r="K54" i="7"/>
  <c r="Q53" i="7"/>
  <c r="K53" i="7"/>
  <c r="H53" i="7"/>
  <c r="Q52" i="7"/>
  <c r="K52" i="7"/>
  <c r="I52" i="7"/>
  <c r="H52" i="7"/>
  <c r="G52" i="7"/>
  <c r="E52" i="7"/>
  <c r="D52" i="7"/>
  <c r="C52" i="7"/>
  <c r="Q51" i="7"/>
  <c r="I51" i="7"/>
  <c r="Q50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G49" i="7"/>
  <c r="F49" i="7"/>
  <c r="E49" i="7"/>
  <c r="D49" i="7"/>
  <c r="C49" i="7"/>
  <c r="B49" i="7"/>
  <c r="Q48" i="7"/>
  <c r="K48" i="7"/>
  <c r="J48" i="7"/>
  <c r="I48" i="7"/>
  <c r="H48" i="7"/>
  <c r="G48" i="7"/>
  <c r="F48" i="7"/>
  <c r="E48" i="7"/>
  <c r="D48" i="7"/>
  <c r="C48" i="7"/>
  <c r="B48" i="7"/>
  <c r="Q47" i="7"/>
  <c r="K47" i="7"/>
  <c r="J47" i="7"/>
  <c r="I47" i="7"/>
  <c r="H47" i="7"/>
  <c r="G47" i="7"/>
  <c r="F47" i="7"/>
  <c r="E47" i="7"/>
  <c r="D47" i="7"/>
  <c r="C47" i="7"/>
  <c r="B47" i="7"/>
  <c r="Q46" i="7"/>
  <c r="K46" i="7"/>
  <c r="J46" i="7"/>
  <c r="I46" i="7"/>
  <c r="H46" i="7"/>
  <c r="G46" i="7"/>
  <c r="F46" i="7"/>
  <c r="E46" i="7"/>
  <c r="D46" i="7"/>
  <c r="C46" i="7"/>
  <c r="B46" i="7"/>
  <c r="Q45" i="7"/>
  <c r="K45" i="7"/>
  <c r="J45" i="7"/>
  <c r="I45" i="7"/>
  <c r="H45" i="7"/>
  <c r="G45" i="7"/>
  <c r="F45" i="7"/>
  <c r="E45" i="7"/>
  <c r="D45" i="7"/>
  <c r="C45" i="7"/>
  <c r="B45" i="7"/>
  <c r="K44" i="7"/>
  <c r="J44" i="7"/>
  <c r="H44" i="7"/>
  <c r="Q43" i="7"/>
  <c r="K43" i="7"/>
  <c r="G43" i="7"/>
  <c r="F43" i="7"/>
  <c r="E43" i="7"/>
  <c r="D43" i="7"/>
  <c r="C43" i="7"/>
  <c r="B43" i="7"/>
  <c r="Q42" i="7"/>
  <c r="K42" i="7"/>
  <c r="J42" i="7"/>
  <c r="I42" i="7"/>
  <c r="H42" i="7"/>
  <c r="G42" i="7"/>
  <c r="F42" i="7"/>
  <c r="E42" i="7"/>
  <c r="E56" i="7" s="1"/>
  <c r="D42" i="7"/>
  <c r="C42" i="7"/>
  <c r="B42" i="7"/>
  <c r="Q41" i="7"/>
  <c r="K41" i="7"/>
  <c r="J41" i="7"/>
  <c r="I41" i="7"/>
  <c r="H41" i="7"/>
  <c r="H56" i="7" s="1"/>
  <c r="G41" i="7"/>
  <c r="F41" i="7"/>
  <c r="Q40" i="7"/>
  <c r="K40" i="7"/>
  <c r="J40" i="7"/>
  <c r="I40" i="7"/>
  <c r="H40" i="7"/>
  <c r="G40" i="7"/>
  <c r="F40" i="7"/>
  <c r="E40" i="7"/>
  <c r="D40" i="7"/>
  <c r="D56" i="7" s="1"/>
  <c r="C40" i="7"/>
  <c r="Q39" i="7"/>
  <c r="K39" i="7"/>
  <c r="J39" i="7"/>
  <c r="I39" i="7"/>
  <c r="I56" i="7" s="1"/>
  <c r="H39" i="7"/>
  <c r="Q38" i="7"/>
  <c r="K38" i="7"/>
  <c r="J38" i="7"/>
  <c r="J56" i="7" s="1"/>
  <c r="I38" i="7"/>
  <c r="H38" i="7"/>
  <c r="G38" i="7"/>
  <c r="F38" i="7"/>
  <c r="F56" i="7" s="1"/>
  <c r="E38" i="7"/>
  <c r="D38" i="7"/>
  <c r="C38" i="7"/>
  <c r="B38" i="7"/>
  <c r="B56" i="7" s="1"/>
  <c r="Q37" i="7"/>
  <c r="Q34" i="7"/>
  <c r="J33" i="7"/>
  <c r="I33" i="7"/>
  <c r="H33" i="7"/>
  <c r="G33" i="7"/>
  <c r="F33" i="7"/>
  <c r="E33" i="7"/>
  <c r="D33" i="7"/>
  <c r="C33" i="7"/>
  <c r="B33" i="7"/>
  <c r="K32" i="7"/>
  <c r="K33" i="7" s="1"/>
  <c r="Q30" i="7"/>
  <c r="I29" i="7"/>
  <c r="Q28" i="7"/>
  <c r="I28" i="7"/>
  <c r="H28" i="7"/>
  <c r="E28" i="7"/>
  <c r="Q27" i="7"/>
  <c r="K27" i="7"/>
  <c r="J27" i="7"/>
  <c r="I27" i="7"/>
  <c r="H27" i="7"/>
  <c r="G27" i="7"/>
  <c r="G28" i="7" s="1"/>
  <c r="F27" i="7"/>
  <c r="F28" i="7" s="1"/>
  <c r="E27" i="7"/>
  <c r="D27" i="7"/>
  <c r="C27" i="7"/>
  <c r="Q26" i="7"/>
  <c r="K26" i="7"/>
  <c r="J26" i="7"/>
  <c r="J28" i="7" s="1"/>
  <c r="D26" i="7"/>
  <c r="D28" i="7" s="1"/>
  <c r="C26" i="7"/>
  <c r="C28" i="7" s="1"/>
  <c r="B26" i="7"/>
  <c r="B28" i="7" s="1"/>
  <c r="Q24" i="7"/>
  <c r="Q23" i="7"/>
  <c r="K23" i="7"/>
  <c r="G23" i="7"/>
  <c r="F23" i="7"/>
  <c r="D23" i="7"/>
  <c r="C23" i="7"/>
  <c r="B23" i="7"/>
  <c r="Q22" i="7"/>
  <c r="J22" i="7"/>
  <c r="H22" i="7"/>
  <c r="F22" i="7"/>
  <c r="Q21" i="7"/>
  <c r="K21" i="7"/>
  <c r="J21" i="7"/>
  <c r="J23" i="7" s="1"/>
  <c r="I21" i="7"/>
  <c r="I23" i="7" s="1"/>
  <c r="H21" i="7"/>
  <c r="H23" i="7" s="1"/>
  <c r="G21" i="7"/>
  <c r="F21" i="7"/>
  <c r="E21" i="7"/>
  <c r="E23" i="7" s="1"/>
  <c r="D21" i="7"/>
  <c r="C21" i="7"/>
  <c r="B21" i="7"/>
  <c r="J20" i="7"/>
  <c r="I20" i="7"/>
  <c r="H20" i="7"/>
  <c r="G20" i="7"/>
  <c r="F20" i="7"/>
  <c r="E20" i="7"/>
  <c r="C20" i="7"/>
  <c r="B20" i="7"/>
  <c r="Q19" i="7"/>
  <c r="K19" i="7"/>
  <c r="J19" i="7"/>
  <c r="F19" i="7"/>
  <c r="E19" i="7"/>
  <c r="D19" i="7"/>
  <c r="C19" i="7"/>
  <c r="J18" i="7"/>
  <c r="E18" i="7"/>
  <c r="D18" i="7"/>
  <c r="C18" i="7"/>
  <c r="B18" i="7"/>
  <c r="Q17" i="7"/>
  <c r="E17" i="7"/>
  <c r="D17" i="7"/>
  <c r="F16" i="7"/>
  <c r="E16" i="7"/>
  <c r="K15" i="7"/>
  <c r="J15" i="7"/>
  <c r="Q14" i="7"/>
  <c r="K14" i="7"/>
  <c r="J14" i="7"/>
  <c r="I14" i="7"/>
  <c r="H14" i="7"/>
  <c r="F14" i="7"/>
  <c r="E14" i="7"/>
  <c r="C14" i="7"/>
  <c r="K13" i="7"/>
  <c r="J13" i="7"/>
  <c r="G13" i="7"/>
  <c r="G24" i="7" s="1"/>
  <c r="F13" i="7"/>
  <c r="J12" i="7"/>
  <c r="H12" i="7"/>
  <c r="F12" i="7"/>
  <c r="E12" i="7"/>
  <c r="E13" i="7" s="1"/>
  <c r="E24" i="7" s="1"/>
  <c r="E30" i="7" s="1"/>
  <c r="E34" i="7" s="1"/>
  <c r="C12" i="7"/>
  <c r="K11" i="7"/>
  <c r="J11" i="7"/>
  <c r="H11" i="7"/>
  <c r="F11" i="7"/>
  <c r="J10" i="7"/>
  <c r="I10" i="7"/>
  <c r="I13" i="7" s="1"/>
  <c r="H10" i="7"/>
  <c r="H13" i="7" s="1"/>
  <c r="G10" i="7"/>
  <c r="D10" i="7"/>
  <c r="D13" i="7" s="1"/>
  <c r="C10" i="7"/>
  <c r="C13" i="7" s="1"/>
  <c r="B10" i="7"/>
  <c r="B13" i="7" s="1"/>
  <c r="B24" i="7" s="1"/>
  <c r="B30" i="7" s="1"/>
  <c r="B34" i="7" s="1"/>
  <c r="J8" i="7"/>
  <c r="F8" i="7"/>
  <c r="E39" i="5"/>
  <c r="E35" i="5"/>
  <c r="E34" i="5"/>
  <c r="E26" i="5"/>
  <c r="E24" i="5"/>
  <c r="E23" i="5"/>
  <c r="H7" i="5" s="1"/>
  <c r="H11" i="5" s="1"/>
  <c r="C16" i="5"/>
  <c r="C15" i="5"/>
  <c r="B16" i="5"/>
  <c r="B15" i="5"/>
  <c r="C8" i="5"/>
  <c r="C10" i="5" s="1"/>
  <c r="C9" i="5"/>
  <c r="B9" i="5"/>
  <c r="B8" i="5"/>
  <c r="D8" i="5" s="1"/>
  <c r="B17" i="5" l="1"/>
  <c r="E25" i="5"/>
  <c r="H43" i="5"/>
  <c r="B10" i="5"/>
  <c r="H45" i="5" s="1"/>
  <c r="D9" i="5"/>
  <c r="D15" i="5"/>
  <c r="H35" i="5"/>
  <c r="I17" i="5" s="1"/>
  <c r="I32" i="5"/>
  <c r="I34" i="5"/>
  <c r="I25" i="5"/>
  <c r="I29" i="5"/>
  <c r="I33" i="5"/>
  <c r="D16" i="5"/>
  <c r="H8" i="5"/>
  <c r="H9" i="5" s="1"/>
  <c r="H41" i="5" s="1"/>
  <c r="H53" i="5" s="1"/>
  <c r="E28" i="5"/>
  <c r="E36" i="5"/>
  <c r="E38" i="5" s="1"/>
  <c r="D10" i="5"/>
  <c r="C17" i="5"/>
  <c r="H171" i="7"/>
  <c r="B171" i="7"/>
  <c r="K171" i="7"/>
  <c r="E171" i="7"/>
  <c r="I171" i="7"/>
  <c r="G171" i="7"/>
  <c r="F171" i="7"/>
  <c r="I130" i="7"/>
  <c r="G30" i="7"/>
  <c r="G34" i="7" s="1"/>
  <c r="H24" i="7"/>
  <c r="H30" i="7" s="1"/>
  <c r="H34" i="7" s="1"/>
  <c r="C24" i="7"/>
  <c r="C30" i="7" s="1"/>
  <c r="C34" i="7" s="1"/>
  <c r="D24" i="7"/>
  <c r="D30" i="7" s="1"/>
  <c r="D34" i="7" s="1"/>
  <c r="K24" i="7"/>
  <c r="G56" i="7"/>
  <c r="E78" i="7"/>
  <c r="C130" i="7"/>
  <c r="J145" i="7"/>
  <c r="D171" i="7"/>
  <c r="I24" i="7"/>
  <c r="I30" i="7" s="1"/>
  <c r="I34" i="7" s="1"/>
  <c r="E66" i="7"/>
  <c r="I66" i="7"/>
  <c r="I187" i="7" s="1"/>
  <c r="I196" i="7" s="1"/>
  <c r="J130" i="7"/>
  <c r="J187" i="7" s="1"/>
  <c r="J196" i="7" s="1"/>
  <c r="D130" i="7"/>
  <c r="H113" i="7"/>
  <c r="D113" i="7"/>
  <c r="C145" i="7"/>
  <c r="G145" i="7"/>
  <c r="K145" i="7"/>
  <c r="J24" i="7"/>
  <c r="J30" i="7" s="1"/>
  <c r="J34" i="7" s="1"/>
  <c r="H130" i="7"/>
  <c r="H187" i="7" s="1"/>
  <c r="H196" i="7" s="1"/>
  <c r="H197" i="7" s="1"/>
  <c r="H198" i="7" s="1"/>
  <c r="C56" i="7"/>
  <c r="C187" i="7" s="1"/>
  <c r="C196" i="7" s="1"/>
  <c r="C197" i="7" s="1"/>
  <c r="C198" i="7" s="1"/>
  <c r="K56" i="7"/>
  <c r="G130" i="7"/>
  <c r="F24" i="7"/>
  <c r="F30" i="7" s="1"/>
  <c r="F34" i="7" s="1"/>
  <c r="K28" i="7"/>
  <c r="K30" i="7" s="1"/>
  <c r="K34" i="7" s="1"/>
  <c r="B130" i="7"/>
  <c r="B187" i="7" s="1"/>
  <c r="B196" i="7" s="1"/>
  <c r="B197" i="7" s="1"/>
  <c r="B198" i="7" s="1"/>
  <c r="F130" i="7"/>
  <c r="K129" i="7"/>
  <c r="K130" i="7" s="1"/>
  <c r="D145" i="7"/>
  <c r="H145" i="7"/>
  <c r="Q17" i="4"/>
  <c r="Q19" i="4"/>
  <c r="Q21" i="4"/>
  <c r="Q22" i="4"/>
  <c r="Q23" i="4"/>
  <c r="Q24" i="4"/>
  <c r="Q26" i="4"/>
  <c r="Q27" i="4"/>
  <c r="Q28" i="4"/>
  <c r="Q30" i="4"/>
  <c r="Q34" i="4"/>
  <c r="Q37" i="4"/>
  <c r="Q38" i="4"/>
  <c r="Q39" i="4"/>
  <c r="Q40" i="4"/>
  <c r="Q41" i="4"/>
  <c r="Q42" i="4"/>
  <c r="Q43" i="4"/>
  <c r="Q45" i="4"/>
  <c r="Q46" i="4"/>
  <c r="Q47" i="4"/>
  <c r="Q48" i="4"/>
  <c r="Q50" i="4"/>
  <c r="Q51" i="4"/>
  <c r="Q52" i="4"/>
  <c r="Q53" i="4"/>
  <c r="Q54" i="4"/>
  <c r="Q56" i="4"/>
  <c r="Q58" i="4"/>
  <c r="Q59" i="4"/>
  <c r="Q62" i="4"/>
  <c r="Q65" i="4"/>
  <c r="Q66" i="4"/>
  <c r="Q67" i="4"/>
  <c r="Q69" i="4"/>
  <c r="Q71" i="4"/>
  <c r="Q73" i="4"/>
  <c r="Q78" i="4"/>
  <c r="Q80" i="4"/>
  <c r="Q81" i="4"/>
  <c r="Q90" i="4"/>
  <c r="Q93" i="4"/>
  <c r="Q94" i="4"/>
  <c r="Q95" i="4"/>
  <c r="Q96" i="4"/>
  <c r="Q97" i="4"/>
  <c r="Q99" i="4"/>
  <c r="Q102" i="4"/>
  <c r="Q105" i="4"/>
  <c r="Q106" i="4"/>
  <c r="Q115" i="4"/>
  <c r="Q117" i="4"/>
  <c r="Q127" i="4"/>
  <c r="Q128" i="4"/>
  <c r="Q129" i="4"/>
  <c r="Q130" i="4"/>
  <c r="Q132" i="4"/>
  <c r="Q134" i="4"/>
  <c r="Q135" i="4"/>
  <c r="Q137" i="4"/>
  <c r="Q138" i="4"/>
  <c r="Q139" i="4"/>
  <c r="Q140" i="4"/>
  <c r="Q145" i="4"/>
  <c r="Q151" i="4"/>
  <c r="Q152" i="4"/>
  <c r="Q153" i="4"/>
  <c r="Q154" i="4"/>
  <c r="Q155" i="4"/>
  <c r="Q156" i="4"/>
  <c r="Q160" i="4"/>
  <c r="Q161" i="4"/>
  <c r="Q162" i="4"/>
  <c r="Q163" i="4"/>
  <c r="Q164" i="4"/>
  <c r="Q165" i="4"/>
  <c r="Q167" i="4"/>
  <c r="Q169" i="4"/>
  <c r="Q170" i="4"/>
  <c r="Q171" i="4"/>
  <c r="Q174" i="4"/>
  <c r="Q178" i="4"/>
  <c r="Q184" i="4"/>
  <c r="Q185" i="4"/>
  <c r="Q187" i="4"/>
  <c r="Q190" i="4"/>
  <c r="Q191" i="4"/>
  <c r="Q192" i="4"/>
  <c r="Q193" i="4"/>
  <c r="Q195" i="4"/>
  <c r="Q196" i="4"/>
  <c r="Q14" i="4"/>
  <c r="E8" i="2"/>
  <c r="D8" i="2"/>
  <c r="C8" i="2"/>
  <c r="G8" i="2" s="1"/>
  <c r="B8" i="2"/>
  <c r="G7" i="2"/>
  <c r="F7" i="2"/>
  <c r="G6" i="2"/>
  <c r="F6" i="2"/>
  <c r="F8" i="2" s="1"/>
  <c r="F8" i="4"/>
  <c r="J8" i="4"/>
  <c r="B10" i="4"/>
  <c r="C10" i="4"/>
  <c r="D10" i="4"/>
  <c r="G10" i="4"/>
  <c r="H10" i="4"/>
  <c r="I10" i="4"/>
  <c r="I13" i="4" s="1"/>
  <c r="J10" i="4"/>
  <c r="F11" i="4"/>
  <c r="H11" i="4"/>
  <c r="J11" i="4"/>
  <c r="K11" i="4"/>
  <c r="K13" i="4" s="1"/>
  <c r="C12" i="4"/>
  <c r="E12" i="4"/>
  <c r="F12" i="4"/>
  <c r="H12" i="4"/>
  <c r="J12" i="4"/>
  <c r="B13" i="4"/>
  <c r="C14" i="4"/>
  <c r="E14" i="4"/>
  <c r="F14" i="4"/>
  <c r="H14" i="4"/>
  <c r="I14" i="4"/>
  <c r="J14" i="4"/>
  <c r="K14" i="4"/>
  <c r="J15" i="4"/>
  <c r="K15" i="4"/>
  <c r="E16" i="4"/>
  <c r="F16" i="4"/>
  <c r="D17" i="4"/>
  <c r="E17" i="4"/>
  <c r="B18" i="4"/>
  <c r="C18" i="4"/>
  <c r="D18" i="4"/>
  <c r="E18" i="4"/>
  <c r="J18" i="4"/>
  <c r="C19" i="4"/>
  <c r="D19" i="4"/>
  <c r="E19" i="4"/>
  <c r="F19" i="4"/>
  <c r="J19" i="4"/>
  <c r="K19" i="4"/>
  <c r="B20" i="4"/>
  <c r="C20" i="4"/>
  <c r="E20" i="4"/>
  <c r="F20" i="4"/>
  <c r="G20" i="4"/>
  <c r="H20" i="4"/>
  <c r="I20" i="4"/>
  <c r="J20" i="4"/>
  <c r="B21" i="4"/>
  <c r="C21" i="4"/>
  <c r="C23" i="4" s="1"/>
  <c r="D21" i="4"/>
  <c r="E21" i="4"/>
  <c r="F21" i="4"/>
  <c r="G21" i="4"/>
  <c r="H21" i="4"/>
  <c r="I21" i="4"/>
  <c r="I23" i="4" s="1"/>
  <c r="J21" i="4"/>
  <c r="K21" i="4"/>
  <c r="K23" i="4" s="1"/>
  <c r="F22" i="4"/>
  <c r="H22" i="4"/>
  <c r="J22" i="4"/>
  <c r="E23" i="4"/>
  <c r="B26" i="4"/>
  <c r="C26" i="4"/>
  <c r="D26" i="4"/>
  <c r="J26" i="4"/>
  <c r="K26" i="4"/>
  <c r="C27" i="4"/>
  <c r="D27" i="4"/>
  <c r="E27" i="4"/>
  <c r="F27" i="4"/>
  <c r="G27" i="4"/>
  <c r="G28" i="4" s="1"/>
  <c r="H27" i="4"/>
  <c r="I27" i="4"/>
  <c r="I28" i="4" s="1"/>
  <c r="J27" i="4"/>
  <c r="K27" i="4"/>
  <c r="I29" i="4"/>
  <c r="K32" i="4"/>
  <c r="K33" i="4" s="1"/>
  <c r="B33" i="4"/>
  <c r="C33" i="4"/>
  <c r="D33" i="4"/>
  <c r="E33" i="4"/>
  <c r="F33" i="4"/>
  <c r="G33" i="4"/>
  <c r="H33" i="4"/>
  <c r="I33" i="4"/>
  <c r="J33" i="4"/>
  <c r="B38" i="4"/>
  <c r="C38" i="4"/>
  <c r="D38" i="4"/>
  <c r="E38" i="4"/>
  <c r="F38" i="4"/>
  <c r="G38" i="4"/>
  <c r="H38" i="4"/>
  <c r="I38" i="4"/>
  <c r="J38" i="4"/>
  <c r="K38" i="4"/>
  <c r="H39" i="4"/>
  <c r="I39" i="4"/>
  <c r="J39" i="4"/>
  <c r="K39" i="4"/>
  <c r="C40" i="4"/>
  <c r="D40" i="4"/>
  <c r="E40" i="4"/>
  <c r="F40" i="4"/>
  <c r="G40" i="4"/>
  <c r="H40" i="4"/>
  <c r="I40" i="4"/>
  <c r="J40" i="4"/>
  <c r="K40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K43" i="4"/>
  <c r="H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I51" i="4"/>
  <c r="C52" i="4"/>
  <c r="D52" i="4"/>
  <c r="E52" i="4"/>
  <c r="G52" i="4"/>
  <c r="H52" i="4"/>
  <c r="I52" i="4"/>
  <c r="K52" i="4"/>
  <c r="H53" i="4"/>
  <c r="K53" i="4"/>
  <c r="K54" i="4"/>
  <c r="B58" i="4"/>
  <c r="C58" i="4"/>
  <c r="D58" i="4"/>
  <c r="E58" i="4"/>
  <c r="F58" i="4"/>
  <c r="G58" i="4"/>
  <c r="H58" i="4"/>
  <c r="I58" i="4"/>
  <c r="J58" i="4"/>
  <c r="K58" i="4"/>
  <c r="I60" i="4"/>
  <c r="K61" i="4"/>
  <c r="B62" i="4"/>
  <c r="D62" i="4"/>
  <c r="E62" i="4"/>
  <c r="F62" i="4"/>
  <c r="G62" i="4"/>
  <c r="H62" i="4"/>
  <c r="I62" i="4"/>
  <c r="J62" i="4"/>
  <c r="B63" i="4"/>
  <c r="C63" i="4"/>
  <c r="D63" i="4"/>
  <c r="E63" i="4"/>
  <c r="F63" i="4"/>
  <c r="G63" i="4"/>
  <c r="H63" i="4"/>
  <c r="I63" i="4"/>
  <c r="J63" i="4"/>
  <c r="E64" i="4"/>
  <c r="F64" i="4"/>
  <c r="J64" i="4"/>
  <c r="J65" i="4"/>
  <c r="K65" i="4"/>
  <c r="C69" i="4"/>
  <c r="D69" i="4"/>
  <c r="F69" i="4"/>
  <c r="F71" i="4" s="1"/>
  <c r="I70" i="4"/>
  <c r="B71" i="4"/>
  <c r="E71" i="4"/>
  <c r="G71" i="4"/>
  <c r="H71" i="4"/>
  <c r="J71" i="4"/>
  <c r="K71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G74" i="4"/>
  <c r="H74" i="4"/>
  <c r="K75" i="4"/>
  <c r="F76" i="4"/>
  <c r="K76" i="4"/>
  <c r="D77" i="4"/>
  <c r="B81" i="4"/>
  <c r="B90" i="4" s="1"/>
  <c r="C81" i="4"/>
  <c r="D81" i="4"/>
  <c r="E81" i="4"/>
  <c r="F81" i="4"/>
  <c r="F90" i="4" s="1"/>
  <c r="G81" i="4"/>
  <c r="G90" i="4" s="1"/>
  <c r="H81" i="4"/>
  <c r="I81" i="4"/>
  <c r="J81" i="4"/>
  <c r="K81" i="4"/>
  <c r="H82" i="4"/>
  <c r="J82" i="4"/>
  <c r="K82" i="4"/>
  <c r="I83" i="4"/>
  <c r="J83" i="4"/>
  <c r="K83" i="4"/>
  <c r="I84" i="4"/>
  <c r="I85" i="4"/>
  <c r="C86" i="4"/>
  <c r="D86" i="4"/>
  <c r="E86" i="4"/>
  <c r="I86" i="4"/>
  <c r="J86" i="4"/>
  <c r="K86" i="4"/>
  <c r="D87" i="4"/>
  <c r="H87" i="4"/>
  <c r="J87" i="4"/>
  <c r="K87" i="4"/>
  <c r="D88" i="4"/>
  <c r="J89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H97" i="4"/>
  <c r="I97" i="4"/>
  <c r="J97" i="4"/>
  <c r="K97" i="4"/>
  <c r="B98" i="4"/>
  <c r="C98" i="4"/>
  <c r="D98" i="4"/>
  <c r="E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G100" i="4"/>
  <c r="H100" i="4"/>
  <c r="K100" i="4"/>
  <c r="J101" i="4"/>
  <c r="K101" i="4"/>
  <c r="B102" i="4"/>
  <c r="C102" i="4"/>
  <c r="D102" i="4"/>
  <c r="E102" i="4"/>
  <c r="G102" i="4"/>
  <c r="J102" i="4"/>
  <c r="J103" i="4"/>
  <c r="B104" i="4"/>
  <c r="B105" i="4"/>
  <c r="C105" i="4"/>
  <c r="D105" i="4"/>
  <c r="E105" i="4"/>
  <c r="F105" i="4"/>
  <c r="H105" i="4"/>
  <c r="I105" i="4"/>
  <c r="K105" i="4"/>
  <c r="K106" i="4" s="1"/>
  <c r="B107" i="4"/>
  <c r="C107" i="4"/>
  <c r="D107" i="4"/>
  <c r="E107" i="4"/>
  <c r="F107" i="4"/>
  <c r="G107" i="4"/>
  <c r="H107" i="4"/>
  <c r="I107" i="4"/>
  <c r="J107" i="4"/>
  <c r="K108" i="4"/>
  <c r="H110" i="4"/>
  <c r="J110" i="4"/>
  <c r="B111" i="4"/>
  <c r="C111" i="4"/>
  <c r="C113" i="4" s="1"/>
  <c r="D111" i="4"/>
  <c r="E111" i="4"/>
  <c r="G111" i="4"/>
  <c r="H111" i="4"/>
  <c r="I111" i="4"/>
  <c r="I113" i="4" s="1"/>
  <c r="J111" i="4"/>
  <c r="K111" i="4"/>
  <c r="D112" i="4"/>
  <c r="H112" i="4"/>
  <c r="J112" i="4"/>
  <c r="K112" i="4"/>
  <c r="F113" i="4"/>
  <c r="I115" i="4"/>
  <c r="C116" i="4"/>
  <c r="D116" i="4"/>
  <c r="D117" i="4" s="1"/>
  <c r="F116" i="4"/>
  <c r="B117" i="4"/>
  <c r="E117" i="4"/>
  <c r="G117" i="4"/>
  <c r="H117" i="4"/>
  <c r="J117" i="4"/>
  <c r="K117" i="4"/>
  <c r="B119" i="4"/>
  <c r="D119" i="4"/>
  <c r="E119" i="4"/>
  <c r="G119" i="4"/>
  <c r="H119" i="4"/>
  <c r="I119" i="4"/>
  <c r="J119" i="4"/>
  <c r="K119" i="4"/>
  <c r="K120" i="4"/>
  <c r="C121" i="4"/>
  <c r="J121" i="4"/>
  <c r="C122" i="4"/>
  <c r="I122" i="4"/>
  <c r="B123" i="4"/>
  <c r="C123" i="4"/>
  <c r="D123" i="4"/>
  <c r="F123" i="4"/>
  <c r="G123" i="4"/>
  <c r="I123" i="4"/>
  <c r="J123" i="4"/>
  <c r="K123" i="4"/>
  <c r="B124" i="4"/>
  <c r="D124" i="4"/>
  <c r="E124" i="4"/>
  <c r="F124" i="4"/>
  <c r="G124" i="4"/>
  <c r="H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I126" i="4"/>
  <c r="B127" i="4"/>
  <c r="C127" i="4"/>
  <c r="D127" i="4"/>
  <c r="E127" i="4"/>
  <c r="F127" i="4"/>
  <c r="H127" i="4"/>
  <c r="B132" i="4"/>
  <c r="C132" i="4"/>
  <c r="D132" i="4"/>
  <c r="E132" i="4"/>
  <c r="F132" i="4"/>
  <c r="G132" i="4"/>
  <c r="H132" i="4"/>
  <c r="I132" i="4"/>
  <c r="J132" i="4"/>
  <c r="K132" i="4"/>
  <c r="K133" i="4"/>
  <c r="D134" i="4"/>
  <c r="E134" i="4"/>
  <c r="G134" i="4"/>
  <c r="H134" i="4"/>
  <c r="H140" i="4" s="1"/>
  <c r="K134" i="4"/>
  <c r="C135" i="4"/>
  <c r="C140" i="4" s="1"/>
  <c r="D135" i="4"/>
  <c r="F135" i="4"/>
  <c r="G135" i="4"/>
  <c r="I135" i="4"/>
  <c r="J135" i="4"/>
  <c r="K135" i="4"/>
  <c r="I136" i="4"/>
  <c r="E137" i="4"/>
  <c r="E140" i="4" s="1"/>
  <c r="F138" i="4"/>
  <c r="I138" i="4"/>
  <c r="J138" i="4"/>
  <c r="B140" i="4"/>
  <c r="D141" i="4"/>
  <c r="E141" i="4"/>
  <c r="H141" i="4"/>
  <c r="I141" i="4"/>
  <c r="J141" i="4"/>
  <c r="K141" i="4"/>
  <c r="I143" i="4"/>
  <c r="J144" i="4"/>
  <c r="B147" i="4"/>
  <c r="J149" i="4"/>
  <c r="K150" i="4"/>
  <c r="B151" i="4"/>
  <c r="C151" i="4"/>
  <c r="D151" i="4"/>
  <c r="G151" i="4"/>
  <c r="I151" i="4"/>
  <c r="J151" i="4"/>
  <c r="K151" i="4"/>
  <c r="B152" i="4"/>
  <c r="C152" i="4"/>
  <c r="E152" i="4"/>
  <c r="F152" i="4"/>
  <c r="H152" i="4"/>
  <c r="J152" i="4"/>
  <c r="B153" i="4"/>
  <c r="C153" i="4"/>
  <c r="D153" i="4"/>
  <c r="E153" i="4"/>
  <c r="F153" i="4"/>
  <c r="G153" i="4"/>
  <c r="H153" i="4"/>
  <c r="I153" i="4"/>
  <c r="J153" i="4"/>
  <c r="K153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K159" i="4"/>
  <c r="B160" i="4"/>
  <c r="C160" i="4"/>
  <c r="D160" i="4"/>
  <c r="E160" i="4"/>
  <c r="F160" i="4"/>
  <c r="G160" i="4"/>
  <c r="H160" i="4"/>
  <c r="I160" i="4"/>
  <c r="J160" i="4"/>
  <c r="K160" i="4"/>
  <c r="K164" i="4" s="1"/>
  <c r="B161" i="4"/>
  <c r="C161" i="4"/>
  <c r="D161" i="4"/>
  <c r="E161" i="4"/>
  <c r="F161" i="4"/>
  <c r="G161" i="4"/>
  <c r="H161" i="4"/>
  <c r="I161" i="4"/>
  <c r="J161" i="4"/>
  <c r="B162" i="4"/>
  <c r="C162" i="4"/>
  <c r="D162" i="4"/>
  <c r="E162" i="4"/>
  <c r="F162" i="4"/>
  <c r="G162" i="4"/>
  <c r="H162" i="4"/>
  <c r="H165" i="4"/>
  <c r="I165" i="4"/>
  <c r="J165" i="4"/>
  <c r="K165" i="4"/>
  <c r="B166" i="4"/>
  <c r="J166" i="4"/>
  <c r="K166" i="4"/>
  <c r="B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I173" i="4"/>
  <c r="C174" i="4"/>
  <c r="E174" i="4"/>
  <c r="F174" i="4"/>
  <c r="F178" i="4" s="1"/>
  <c r="G174" i="4"/>
  <c r="G178" i="4" s="1"/>
  <c r="H174" i="4"/>
  <c r="H178" i="4" s="1"/>
  <c r="K174" i="4"/>
  <c r="B175" i="4"/>
  <c r="C175" i="4"/>
  <c r="D175" i="4"/>
  <c r="K175" i="4"/>
  <c r="I176" i="4"/>
  <c r="J176" i="4"/>
  <c r="K176" i="4"/>
  <c r="I177" i="4"/>
  <c r="F180" i="4"/>
  <c r="G180" i="4"/>
  <c r="H180" i="4"/>
  <c r="J180" i="4"/>
  <c r="K180" i="4"/>
  <c r="E181" i="4"/>
  <c r="F181" i="4"/>
  <c r="I181" i="4"/>
  <c r="J181" i="4"/>
  <c r="E182" i="4"/>
  <c r="F182" i="4"/>
  <c r="G182" i="4"/>
  <c r="I182" i="4"/>
  <c r="J182" i="4"/>
  <c r="B183" i="4"/>
  <c r="E183" i="4"/>
  <c r="F183" i="4"/>
  <c r="G183" i="4"/>
  <c r="H183" i="4"/>
  <c r="I183" i="4"/>
  <c r="J183" i="4"/>
  <c r="K183" i="4"/>
  <c r="C184" i="4"/>
  <c r="E184" i="4"/>
  <c r="F184" i="4"/>
  <c r="G184" i="4"/>
  <c r="J184" i="4"/>
  <c r="K184" i="4"/>
  <c r="D185" i="4"/>
  <c r="B186" i="4"/>
  <c r="C186" i="4"/>
  <c r="D186" i="4"/>
  <c r="E186" i="4"/>
  <c r="F186" i="4"/>
  <c r="G186" i="4"/>
  <c r="B188" i="4"/>
  <c r="C188" i="4"/>
  <c r="D188" i="4"/>
  <c r="E188" i="4"/>
  <c r="H189" i="4"/>
  <c r="I189" i="4"/>
  <c r="J189" i="4"/>
  <c r="K189" i="4"/>
  <c r="B190" i="4"/>
  <c r="C190" i="4"/>
  <c r="D190" i="4"/>
  <c r="E190" i="4"/>
  <c r="F190" i="4"/>
  <c r="G190" i="4"/>
  <c r="I191" i="4"/>
  <c r="G192" i="4"/>
  <c r="H192" i="4"/>
  <c r="I192" i="4"/>
  <c r="J192" i="4"/>
  <c r="K192" i="4"/>
  <c r="I194" i="4"/>
  <c r="J194" i="4"/>
  <c r="K194" i="4"/>
  <c r="D8" i="3"/>
  <c r="E8" i="3"/>
  <c r="H8" i="3"/>
  <c r="I8" i="3"/>
  <c r="L8" i="3"/>
  <c r="M8" i="3"/>
  <c r="P8" i="3"/>
  <c r="Q8" i="3"/>
  <c r="R8" i="3"/>
  <c r="T8" i="3"/>
  <c r="U8" i="3"/>
  <c r="X8" i="3"/>
  <c r="Y8" i="3"/>
  <c r="AB8" i="3"/>
  <c r="AC8" i="3"/>
  <c r="AF8" i="3"/>
  <c r="AG8" i="3"/>
  <c r="AH8" i="3"/>
  <c r="AJ8" i="3" s="1"/>
  <c r="AK8" i="3"/>
  <c r="AN8" i="3"/>
  <c r="AO8" i="3"/>
  <c r="AR8" i="3"/>
  <c r="AS8" i="3"/>
  <c r="AV8" i="3"/>
  <c r="AW8" i="3"/>
  <c r="BA8" i="3"/>
  <c r="D9" i="3"/>
  <c r="E9" i="3"/>
  <c r="H9" i="3"/>
  <c r="I9" i="3"/>
  <c r="L9" i="3"/>
  <c r="M9" i="3"/>
  <c r="P9" i="3"/>
  <c r="Q9" i="3"/>
  <c r="T9" i="3"/>
  <c r="U9" i="3"/>
  <c r="X9" i="3"/>
  <c r="Y9" i="3"/>
  <c r="AB9" i="3"/>
  <c r="AC9" i="3"/>
  <c r="AF9" i="3"/>
  <c r="AG9" i="3"/>
  <c r="AJ9" i="3"/>
  <c r="AK9" i="3"/>
  <c r="AN9" i="3"/>
  <c r="AO9" i="3"/>
  <c r="AR9" i="3"/>
  <c r="AS9" i="3"/>
  <c r="AV9" i="3"/>
  <c r="AW9" i="3"/>
  <c r="AX9" i="3"/>
  <c r="BA9" i="3"/>
  <c r="B10" i="3"/>
  <c r="D10" i="3"/>
  <c r="E10" i="3"/>
  <c r="F10" i="3"/>
  <c r="H10" i="3" s="1"/>
  <c r="I10" i="3"/>
  <c r="J10" i="3"/>
  <c r="L10" i="3"/>
  <c r="M10" i="3"/>
  <c r="P10" i="3"/>
  <c r="Q10" i="3"/>
  <c r="T10" i="3"/>
  <c r="U10" i="3"/>
  <c r="V10" i="3"/>
  <c r="Y10" i="3"/>
  <c r="Z10" i="3"/>
  <c r="AB10" i="3"/>
  <c r="AC10" i="3"/>
  <c r="AD10" i="3"/>
  <c r="AF10" i="3" s="1"/>
  <c r="AG10" i="3"/>
  <c r="AH10" i="3"/>
  <c r="AJ10" i="3"/>
  <c r="AK10" i="3"/>
  <c r="AN10" i="3"/>
  <c r="AO10" i="3"/>
  <c r="AR10" i="3"/>
  <c r="AS10" i="3"/>
  <c r="AV10" i="3"/>
  <c r="AW10" i="3"/>
  <c r="BA10" i="3"/>
  <c r="D11" i="3"/>
  <c r="E11" i="3"/>
  <c r="H11" i="3"/>
  <c r="I11" i="3"/>
  <c r="L11" i="3"/>
  <c r="M11" i="3"/>
  <c r="P11" i="3"/>
  <c r="Q11" i="3"/>
  <c r="R11" i="3"/>
  <c r="U11" i="3"/>
  <c r="X11" i="3"/>
  <c r="Y11" i="3"/>
  <c r="Z11" i="3"/>
  <c r="AB11" i="3"/>
  <c r="AC11" i="3"/>
  <c r="AF11" i="3"/>
  <c r="AG11" i="3"/>
  <c r="AH11" i="3"/>
  <c r="AK11" i="3"/>
  <c r="AL11" i="3"/>
  <c r="AN11" i="3"/>
  <c r="AO11" i="3"/>
  <c r="AP11" i="3"/>
  <c r="AR11" i="3" s="1"/>
  <c r="AS11" i="3"/>
  <c r="AV11" i="3"/>
  <c r="AW11" i="3"/>
  <c r="BA11" i="3"/>
  <c r="D12" i="3"/>
  <c r="E12" i="3"/>
  <c r="F12" i="3"/>
  <c r="H12" i="3"/>
  <c r="I12" i="3"/>
  <c r="L12" i="3"/>
  <c r="M12" i="3"/>
  <c r="N12" i="3"/>
  <c r="P12" i="3" s="1"/>
  <c r="Q12" i="3"/>
  <c r="R12" i="3"/>
  <c r="T12" i="3"/>
  <c r="U12" i="3"/>
  <c r="X12" i="3"/>
  <c r="Y12" i="3"/>
  <c r="Z12" i="3"/>
  <c r="AB12" i="3" s="1"/>
  <c r="AC12" i="3"/>
  <c r="AF12" i="3"/>
  <c r="AG12" i="3"/>
  <c r="AH12" i="3"/>
  <c r="AJ12" i="3"/>
  <c r="AK12" i="3"/>
  <c r="AN12" i="3"/>
  <c r="AO12" i="3"/>
  <c r="AP12" i="3"/>
  <c r="AR12" i="3" s="1"/>
  <c r="AS12" i="3"/>
  <c r="AT12" i="3"/>
  <c r="AV12" i="3"/>
  <c r="AW12" i="3"/>
  <c r="BA12" i="3"/>
  <c r="B13" i="3"/>
  <c r="C13" i="3"/>
  <c r="E13" i="3" s="1"/>
  <c r="D13" i="3"/>
  <c r="F13" i="3"/>
  <c r="G13" i="3"/>
  <c r="I13" i="3" s="1"/>
  <c r="H13" i="3"/>
  <c r="J13" i="3"/>
  <c r="K13" i="3"/>
  <c r="M13" i="3" s="1"/>
  <c r="N13" i="3"/>
  <c r="O13" i="3"/>
  <c r="Q13" i="3" s="1"/>
  <c r="R13" i="3"/>
  <c r="S13" i="3"/>
  <c r="U13" i="3" s="1"/>
  <c r="T13" i="3"/>
  <c r="V13" i="3"/>
  <c r="W13" i="3"/>
  <c r="Y13" i="3" s="1"/>
  <c r="X13" i="3"/>
  <c r="Z13" i="3"/>
  <c r="AA13" i="3"/>
  <c r="AC13" i="3" s="1"/>
  <c r="AD13" i="3"/>
  <c r="AF13" i="3" s="1"/>
  <c r="AE13" i="3"/>
  <c r="AG13" i="3" s="1"/>
  <c r="AI13" i="3"/>
  <c r="AK13" i="3" s="1"/>
  <c r="AL13" i="3"/>
  <c r="AM13" i="3"/>
  <c r="AO13" i="3" s="1"/>
  <c r="AN13" i="3"/>
  <c r="AP13" i="3"/>
  <c r="AQ13" i="3"/>
  <c r="AS13" i="3" s="1"/>
  <c r="AT13" i="3"/>
  <c r="AU13" i="3"/>
  <c r="AW13" i="3" s="1"/>
  <c r="AV13" i="3"/>
  <c r="BA13" i="3"/>
  <c r="C14" i="3"/>
  <c r="D14" i="3" s="1"/>
  <c r="F14" i="3"/>
  <c r="G14" i="3"/>
  <c r="K14" i="3"/>
  <c r="L14" i="3"/>
  <c r="M14" i="3"/>
  <c r="N14" i="3"/>
  <c r="P14" i="3" s="1"/>
  <c r="O14" i="3"/>
  <c r="R14" i="3"/>
  <c r="S14" i="3"/>
  <c r="W14" i="3"/>
  <c r="X14" i="3" s="1"/>
  <c r="Y14" i="3"/>
  <c r="Z14" i="3"/>
  <c r="AB14" i="3" s="1"/>
  <c r="AA14" i="3"/>
  <c r="AC14" i="3"/>
  <c r="AD14" i="3"/>
  <c r="AF14" i="3" s="1"/>
  <c r="AE14" i="3"/>
  <c r="AG14" i="3" s="1"/>
  <c r="AH14" i="3"/>
  <c r="AI14" i="3"/>
  <c r="AK14" i="3" s="1"/>
  <c r="AL14" i="3"/>
  <c r="AM14" i="3"/>
  <c r="AO14" i="3"/>
  <c r="AP14" i="3"/>
  <c r="AR14" i="3" s="1"/>
  <c r="AQ14" i="3"/>
  <c r="AS14" i="3"/>
  <c r="AT14" i="3"/>
  <c r="AV14" i="3" s="1"/>
  <c r="AU14" i="3"/>
  <c r="AW14" i="3" s="1"/>
  <c r="D15" i="3"/>
  <c r="E15" i="3"/>
  <c r="H15" i="3"/>
  <c r="I15" i="3"/>
  <c r="L15" i="3"/>
  <c r="M15" i="3"/>
  <c r="P15" i="3"/>
  <c r="Q15" i="3"/>
  <c r="T15" i="3"/>
  <c r="U15" i="3"/>
  <c r="X15" i="3"/>
  <c r="Y15" i="3"/>
  <c r="AB15" i="3"/>
  <c r="AC15" i="3"/>
  <c r="AF15" i="3"/>
  <c r="AG15" i="3"/>
  <c r="AH15" i="3"/>
  <c r="AJ15" i="3"/>
  <c r="AK15" i="3"/>
  <c r="AL15" i="3"/>
  <c r="AO15" i="3"/>
  <c r="AP15" i="3"/>
  <c r="AR15" i="3"/>
  <c r="AS15" i="3"/>
  <c r="AV15" i="3"/>
  <c r="AW15" i="3"/>
  <c r="BA15" i="3"/>
  <c r="D16" i="3"/>
  <c r="E16" i="3"/>
  <c r="H16" i="3"/>
  <c r="I16" i="3"/>
  <c r="L16" i="3"/>
  <c r="M16" i="3"/>
  <c r="N16" i="3"/>
  <c r="Q16" i="3"/>
  <c r="R16" i="3"/>
  <c r="T16" i="3"/>
  <c r="U16" i="3"/>
  <c r="X16" i="3"/>
  <c r="Y16" i="3"/>
  <c r="AB16" i="3"/>
  <c r="AC16" i="3"/>
  <c r="AF16" i="3"/>
  <c r="AG16" i="3"/>
  <c r="AJ16" i="3"/>
  <c r="AK16" i="3"/>
  <c r="AN16" i="3"/>
  <c r="AO16" i="3"/>
  <c r="AR16" i="3"/>
  <c r="AS16" i="3"/>
  <c r="AV16" i="3"/>
  <c r="AW16" i="3"/>
  <c r="BA16" i="3"/>
  <c r="C17" i="3"/>
  <c r="E17" i="3"/>
  <c r="G17" i="3"/>
  <c r="I17" i="3" s="1"/>
  <c r="H17" i="3"/>
  <c r="J17" i="3"/>
  <c r="K17" i="3"/>
  <c r="M17" i="3" s="1"/>
  <c r="L17" i="3"/>
  <c r="N17" i="3"/>
  <c r="O17" i="3"/>
  <c r="Q17" i="3" s="1"/>
  <c r="P17" i="3"/>
  <c r="S17" i="3"/>
  <c r="T17" i="3" s="1"/>
  <c r="W17" i="3"/>
  <c r="X17" i="3"/>
  <c r="Y17" i="3"/>
  <c r="AA17" i="3"/>
  <c r="AB17" i="3" s="1"/>
  <c r="AC17" i="3"/>
  <c r="AE17" i="3"/>
  <c r="AG17" i="3" s="1"/>
  <c r="AF17" i="3"/>
  <c r="AI17" i="3"/>
  <c r="AJ17" i="3" s="1"/>
  <c r="AK17" i="3"/>
  <c r="AM17" i="3"/>
  <c r="AN17" i="3"/>
  <c r="AO17" i="3"/>
  <c r="AQ17" i="3"/>
  <c r="AR17" i="3" s="1"/>
  <c r="AS17" i="3"/>
  <c r="AU17" i="3"/>
  <c r="AW17" i="3" s="1"/>
  <c r="AV17" i="3"/>
  <c r="AX17" i="3"/>
  <c r="B18" i="3"/>
  <c r="D18" i="3" s="1"/>
  <c r="E18" i="3"/>
  <c r="F18" i="3"/>
  <c r="H18" i="3"/>
  <c r="I18" i="3"/>
  <c r="J18" i="3"/>
  <c r="L18" i="3" s="1"/>
  <c r="M18" i="3"/>
  <c r="N18" i="3"/>
  <c r="P18" i="3"/>
  <c r="Q18" i="3"/>
  <c r="T18" i="3"/>
  <c r="U18" i="3"/>
  <c r="X18" i="3"/>
  <c r="Y18" i="3"/>
  <c r="AB18" i="3"/>
  <c r="AC18" i="3"/>
  <c r="AF18" i="3"/>
  <c r="AG18" i="3"/>
  <c r="AH18" i="3"/>
  <c r="AJ18" i="3" s="1"/>
  <c r="AK18" i="3"/>
  <c r="AN18" i="3"/>
  <c r="AO18" i="3"/>
  <c r="AP18" i="3"/>
  <c r="AR18" i="3"/>
  <c r="AS18" i="3"/>
  <c r="AV18" i="3"/>
  <c r="AW18" i="3"/>
  <c r="AX18" i="3"/>
  <c r="AZ18" i="3" s="1"/>
  <c r="BA18" i="3"/>
  <c r="C19" i="3"/>
  <c r="F19" i="3"/>
  <c r="G19" i="3"/>
  <c r="I19" i="3"/>
  <c r="J19" i="3"/>
  <c r="L19" i="3" s="1"/>
  <c r="K19" i="3"/>
  <c r="M19" i="3"/>
  <c r="N19" i="3"/>
  <c r="P19" i="3" s="1"/>
  <c r="O19" i="3"/>
  <c r="Q19" i="3" s="1"/>
  <c r="R19" i="3"/>
  <c r="S19" i="3"/>
  <c r="W19" i="3"/>
  <c r="Y19" i="3" s="1"/>
  <c r="X19" i="3"/>
  <c r="AA19" i="3"/>
  <c r="AE19" i="3"/>
  <c r="AF19" i="3"/>
  <c r="AG19" i="3"/>
  <c r="AH19" i="3"/>
  <c r="AJ19" i="3" s="1"/>
  <c r="AI19" i="3"/>
  <c r="AL19" i="3"/>
  <c r="AM19" i="3"/>
  <c r="AP19" i="3"/>
  <c r="AS19" i="3" s="1"/>
  <c r="AQ19" i="3"/>
  <c r="AR19" i="3"/>
  <c r="AU19" i="3"/>
  <c r="AV19" i="3" s="1"/>
  <c r="AW19" i="3"/>
  <c r="B20" i="3"/>
  <c r="D20" i="3"/>
  <c r="E20" i="3"/>
  <c r="F20" i="3"/>
  <c r="I20" i="3"/>
  <c r="L20" i="3"/>
  <c r="M20" i="3"/>
  <c r="N20" i="3"/>
  <c r="P20" i="3"/>
  <c r="Q20" i="3"/>
  <c r="R20" i="3"/>
  <c r="T20" i="3" s="1"/>
  <c r="U20" i="3"/>
  <c r="V20" i="3"/>
  <c r="X20" i="3"/>
  <c r="Y20" i="3"/>
  <c r="Z20" i="3"/>
  <c r="AB20" i="3" s="1"/>
  <c r="AC20" i="3"/>
  <c r="AD20" i="3"/>
  <c r="AF20" i="3"/>
  <c r="AG20" i="3"/>
  <c r="AH20" i="3"/>
  <c r="AJ20" i="3" s="1"/>
  <c r="AK20" i="3"/>
  <c r="AN20" i="3"/>
  <c r="AO20" i="3"/>
  <c r="AR20" i="3"/>
  <c r="AS20" i="3"/>
  <c r="AV20" i="3"/>
  <c r="AW20" i="3"/>
  <c r="BA20" i="3"/>
  <c r="B21" i="3"/>
  <c r="D21" i="3" s="1"/>
  <c r="C21" i="3"/>
  <c r="E21" i="3" s="1"/>
  <c r="F21" i="3"/>
  <c r="G21" i="3"/>
  <c r="J21" i="3"/>
  <c r="K21" i="3"/>
  <c r="M21" i="3"/>
  <c r="N21" i="3"/>
  <c r="P21" i="3" s="1"/>
  <c r="O21" i="3"/>
  <c r="Q21" i="3"/>
  <c r="R21" i="3"/>
  <c r="T21" i="3" s="1"/>
  <c r="S21" i="3"/>
  <c r="U21" i="3" s="1"/>
  <c r="V21" i="3"/>
  <c r="W21" i="3"/>
  <c r="Z21" i="3"/>
  <c r="AA21" i="3"/>
  <c r="AC21" i="3"/>
  <c r="AD21" i="3"/>
  <c r="AF21" i="3" s="1"/>
  <c r="AE21" i="3"/>
  <c r="AG21" i="3"/>
  <c r="AH21" i="3"/>
  <c r="AJ21" i="3" s="1"/>
  <c r="AI21" i="3"/>
  <c r="AK21" i="3" s="1"/>
  <c r="AL21" i="3"/>
  <c r="AM21" i="3"/>
  <c r="AP21" i="3"/>
  <c r="AQ21" i="3"/>
  <c r="AS21" i="3"/>
  <c r="AU21" i="3"/>
  <c r="AW21" i="3" s="1"/>
  <c r="AV21" i="3"/>
  <c r="AX21" i="3"/>
  <c r="C22" i="3"/>
  <c r="D22" i="3" s="1"/>
  <c r="G22" i="3"/>
  <c r="H22" i="3"/>
  <c r="I22" i="3"/>
  <c r="K22" i="3"/>
  <c r="L22" i="3" s="1"/>
  <c r="M22" i="3"/>
  <c r="O22" i="3"/>
  <c r="Q22" i="3" s="1"/>
  <c r="P22" i="3"/>
  <c r="R22" i="3"/>
  <c r="S22" i="3"/>
  <c r="U22" i="3" s="1"/>
  <c r="T22" i="3"/>
  <c r="W22" i="3"/>
  <c r="X22" i="3" s="1"/>
  <c r="Z22" i="3"/>
  <c r="AA22" i="3"/>
  <c r="AA23" i="3" s="1"/>
  <c r="AE22" i="3"/>
  <c r="AF22" i="3"/>
  <c r="AG22" i="3"/>
  <c r="AH22" i="3"/>
  <c r="AJ22" i="3" s="1"/>
  <c r="AI22" i="3"/>
  <c r="AM22" i="3"/>
  <c r="AQ22" i="3"/>
  <c r="AS22" i="3" s="1"/>
  <c r="AR22" i="3"/>
  <c r="AU22" i="3"/>
  <c r="C23" i="3"/>
  <c r="K23" i="3"/>
  <c r="O23" i="3"/>
  <c r="O24" i="3" s="1"/>
  <c r="AD23" i="3"/>
  <c r="AE23" i="3"/>
  <c r="AI23" i="3"/>
  <c r="AL23" i="3"/>
  <c r="AP23" i="3"/>
  <c r="AQ23" i="3"/>
  <c r="AR23" i="3"/>
  <c r="AS23" i="3"/>
  <c r="AT23" i="3"/>
  <c r="AD24" i="3"/>
  <c r="AE24" i="3"/>
  <c r="AI24" i="3"/>
  <c r="AQ24" i="3"/>
  <c r="AT24" i="3"/>
  <c r="D25" i="3"/>
  <c r="E25" i="3"/>
  <c r="H25" i="3"/>
  <c r="I25" i="3"/>
  <c r="L25" i="3"/>
  <c r="M25" i="3"/>
  <c r="P25" i="3"/>
  <c r="Q25" i="3"/>
  <c r="T25" i="3"/>
  <c r="U25" i="3"/>
  <c r="X25" i="3"/>
  <c r="Y25" i="3"/>
  <c r="AB25" i="3"/>
  <c r="AC25" i="3"/>
  <c r="AF25" i="3"/>
  <c r="AG25" i="3"/>
  <c r="AJ25" i="3"/>
  <c r="AK25" i="3"/>
  <c r="AN25" i="3"/>
  <c r="AO25" i="3"/>
  <c r="AR25" i="3"/>
  <c r="AS25" i="3"/>
  <c r="AV25" i="3"/>
  <c r="AW25" i="3"/>
  <c r="AX25" i="3"/>
  <c r="B26" i="3"/>
  <c r="C26" i="3"/>
  <c r="F26" i="3"/>
  <c r="G26" i="3"/>
  <c r="J26" i="3"/>
  <c r="K26" i="3"/>
  <c r="O26" i="3"/>
  <c r="P26" i="3"/>
  <c r="Q26" i="3"/>
  <c r="S26" i="3"/>
  <c r="T26" i="3"/>
  <c r="U26" i="3"/>
  <c r="W26" i="3"/>
  <c r="X26" i="3" s="1"/>
  <c r="AA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U26" i="3"/>
  <c r="AV26" i="3"/>
  <c r="AW26" i="3"/>
  <c r="AX26" i="3"/>
  <c r="C27" i="3"/>
  <c r="F27" i="3"/>
  <c r="G27" i="3"/>
  <c r="J27" i="3"/>
  <c r="K27" i="3"/>
  <c r="N27" i="3"/>
  <c r="O27" i="3"/>
  <c r="R27" i="3"/>
  <c r="S27" i="3"/>
  <c r="V27" i="3"/>
  <c r="X27" i="3" s="1"/>
  <c r="W27" i="3"/>
  <c r="Z27" i="3"/>
  <c r="AA27" i="3"/>
  <c r="AD27" i="3"/>
  <c r="AF27" i="3" s="1"/>
  <c r="AE27" i="3"/>
  <c r="AE28" i="3" s="1"/>
  <c r="AH27" i="3"/>
  <c r="AI27" i="3"/>
  <c r="AL27" i="3"/>
  <c r="AN27" i="3" s="1"/>
  <c r="AM27" i="3"/>
  <c r="AP27" i="3"/>
  <c r="AQ27" i="3"/>
  <c r="AS27" i="3" s="1"/>
  <c r="AU27" i="3"/>
  <c r="AW27" i="3" s="1"/>
  <c r="B28" i="3"/>
  <c r="G28" i="3"/>
  <c r="O28" i="3"/>
  <c r="V28" i="3"/>
  <c r="X28" i="3" s="1"/>
  <c r="W28" i="3"/>
  <c r="Z28" i="3"/>
  <c r="AD28" i="3"/>
  <c r="AF28" i="3"/>
  <c r="AH28" i="3"/>
  <c r="AL28" i="3"/>
  <c r="AN28" i="3" s="1"/>
  <c r="AM28" i="3"/>
  <c r="AP28" i="3"/>
  <c r="AT28" i="3"/>
  <c r="D29" i="3"/>
  <c r="E29" i="3"/>
  <c r="H29" i="3"/>
  <c r="I29" i="3"/>
  <c r="L29" i="3"/>
  <c r="M29" i="3"/>
  <c r="P29" i="3"/>
  <c r="Q29" i="3"/>
  <c r="T29" i="3"/>
  <c r="U29" i="3"/>
  <c r="X29" i="3"/>
  <c r="Y29" i="3"/>
  <c r="AB29" i="3"/>
  <c r="AC29" i="3"/>
  <c r="AD29" i="3"/>
  <c r="AF29" i="3" s="1"/>
  <c r="AG29" i="3"/>
  <c r="AJ29" i="3"/>
  <c r="AK29" i="3"/>
  <c r="AN29" i="3"/>
  <c r="AO29" i="3"/>
  <c r="AR29" i="3"/>
  <c r="AS29" i="3"/>
  <c r="AV29" i="3"/>
  <c r="AW29" i="3"/>
  <c r="AX29" i="3"/>
  <c r="AZ29" i="3" s="1"/>
  <c r="BA29" i="3"/>
  <c r="AD30" i="3"/>
  <c r="AT30" i="3"/>
  <c r="D32" i="3"/>
  <c r="E32" i="3"/>
  <c r="H32" i="3"/>
  <c r="I32" i="3"/>
  <c r="L32" i="3"/>
  <c r="M32" i="3"/>
  <c r="P32" i="3"/>
  <c r="Q32" i="3"/>
  <c r="T32" i="3"/>
  <c r="U32" i="3"/>
  <c r="X32" i="3"/>
  <c r="Y32" i="3"/>
  <c r="AB32" i="3"/>
  <c r="AC32" i="3"/>
  <c r="AF32" i="3"/>
  <c r="AG32" i="3"/>
  <c r="AJ32" i="3"/>
  <c r="AK32" i="3"/>
  <c r="AL32" i="3"/>
  <c r="AN32" i="3" s="1"/>
  <c r="AO32" i="3"/>
  <c r="AR32" i="3"/>
  <c r="AS32" i="3"/>
  <c r="AV32" i="3"/>
  <c r="AW32" i="3"/>
  <c r="AX32" i="3"/>
  <c r="AZ32" i="3" s="1"/>
  <c r="BA32" i="3"/>
  <c r="B33" i="3"/>
  <c r="D33" i="3" s="1"/>
  <c r="C33" i="3"/>
  <c r="E33" i="3"/>
  <c r="F33" i="3"/>
  <c r="H33" i="3" s="1"/>
  <c r="G33" i="3"/>
  <c r="I33" i="3"/>
  <c r="J33" i="3"/>
  <c r="L33" i="3" s="1"/>
  <c r="K33" i="3"/>
  <c r="M33" i="3"/>
  <c r="N33" i="3"/>
  <c r="P33" i="3" s="1"/>
  <c r="O33" i="3"/>
  <c r="Q33" i="3"/>
  <c r="R33" i="3"/>
  <c r="T33" i="3" s="1"/>
  <c r="S33" i="3"/>
  <c r="U33" i="3"/>
  <c r="V33" i="3"/>
  <c r="X33" i="3" s="1"/>
  <c r="W33" i="3"/>
  <c r="Y33" i="3"/>
  <c r="Z33" i="3"/>
  <c r="AB33" i="3" s="1"/>
  <c r="AA33" i="3"/>
  <c r="AC33" i="3"/>
  <c r="AD33" i="3"/>
  <c r="AF33" i="3" s="1"/>
  <c r="AE33" i="3"/>
  <c r="AG33" i="3"/>
  <c r="AH33" i="3"/>
  <c r="AJ33" i="3" s="1"/>
  <c r="AI33" i="3"/>
  <c r="AK33" i="3"/>
  <c r="AL33" i="3"/>
  <c r="AN33" i="3" s="1"/>
  <c r="AM33" i="3"/>
  <c r="AO33" i="3"/>
  <c r="AP33" i="3"/>
  <c r="AR33" i="3" s="1"/>
  <c r="AQ33" i="3"/>
  <c r="AS33" i="3"/>
  <c r="AT33" i="3"/>
  <c r="AV33" i="3" s="1"/>
  <c r="AU33" i="3"/>
  <c r="AW33" i="3"/>
  <c r="AX33" i="3"/>
  <c r="AZ33" i="3" s="1"/>
  <c r="BA33" i="3"/>
  <c r="D36" i="3"/>
  <c r="E36" i="3"/>
  <c r="H36" i="3"/>
  <c r="I36" i="3"/>
  <c r="L36" i="3"/>
  <c r="M36" i="3"/>
  <c r="P36" i="3"/>
  <c r="Q36" i="3"/>
  <c r="T36" i="3"/>
  <c r="U36" i="3"/>
  <c r="X36" i="3"/>
  <c r="Y36" i="3"/>
  <c r="AB36" i="3"/>
  <c r="AC36" i="3"/>
  <c r="AF36" i="3"/>
  <c r="AG36" i="3"/>
  <c r="AJ36" i="3"/>
  <c r="AK36" i="3"/>
  <c r="AN36" i="3"/>
  <c r="AO36" i="3"/>
  <c r="AR36" i="3"/>
  <c r="AS36" i="3"/>
  <c r="AV36" i="3"/>
  <c r="AW36" i="3"/>
  <c r="AX36" i="3"/>
  <c r="AZ36" i="3" s="1"/>
  <c r="BA36" i="3"/>
  <c r="C37" i="3"/>
  <c r="D37" i="3" s="1"/>
  <c r="G37" i="3"/>
  <c r="K37" i="3"/>
  <c r="L37" i="3"/>
  <c r="M37" i="3"/>
  <c r="O37" i="3"/>
  <c r="P37" i="3" s="1"/>
  <c r="Q37" i="3"/>
  <c r="S37" i="3"/>
  <c r="T37" i="3" s="1"/>
  <c r="W37" i="3"/>
  <c r="AA37" i="3"/>
  <c r="AB37" i="3"/>
  <c r="AC37" i="3"/>
  <c r="AE37" i="3"/>
  <c r="AF37" i="3" s="1"/>
  <c r="AG37" i="3"/>
  <c r="AI37" i="3"/>
  <c r="AJ37" i="3" s="1"/>
  <c r="AM37" i="3"/>
  <c r="AQ37" i="3"/>
  <c r="AR37" i="3"/>
  <c r="AS37" i="3"/>
  <c r="AU37" i="3"/>
  <c r="AV37" i="3" s="1"/>
  <c r="AW37" i="3"/>
  <c r="AX37" i="3"/>
  <c r="B38" i="3"/>
  <c r="D38" i="3" s="1"/>
  <c r="C38" i="3"/>
  <c r="E38" i="3"/>
  <c r="F38" i="3"/>
  <c r="H38" i="3" s="1"/>
  <c r="G38" i="3"/>
  <c r="I38" i="3"/>
  <c r="J38" i="3"/>
  <c r="L38" i="3" s="1"/>
  <c r="K38" i="3"/>
  <c r="M38" i="3"/>
  <c r="N38" i="3"/>
  <c r="P38" i="3" s="1"/>
  <c r="O38" i="3"/>
  <c r="Q38" i="3"/>
  <c r="R38" i="3"/>
  <c r="T38" i="3" s="1"/>
  <c r="S38" i="3"/>
  <c r="U38" i="3"/>
  <c r="V38" i="3"/>
  <c r="X38" i="3" s="1"/>
  <c r="W38" i="3"/>
  <c r="Y38" i="3"/>
  <c r="Z38" i="3"/>
  <c r="AB38" i="3" s="1"/>
  <c r="AA38" i="3"/>
  <c r="AC38" i="3"/>
  <c r="AD38" i="3"/>
  <c r="AF38" i="3" s="1"/>
  <c r="AE38" i="3"/>
  <c r="AG38" i="3"/>
  <c r="AH38" i="3"/>
  <c r="AJ38" i="3" s="1"/>
  <c r="AI38" i="3"/>
  <c r="AK38" i="3"/>
  <c r="AL38" i="3"/>
  <c r="AN38" i="3" s="1"/>
  <c r="AM38" i="3"/>
  <c r="AO38" i="3"/>
  <c r="AQ38" i="3"/>
  <c r="AR38" i="3" s="1"/>
  <c r="AU38" i="3"/>
  <c r="C39" i="3"/>
  <c r="D39" i="3"/>
  <c r="E39" i="3"/>
  <c r="G39" i="3"/>
  <c r="H39" i="3" s="1"/>
  <c r="I39" i="3"/>
  <c r="K39" i="3"/>
  <c r="L39" i="3" s="1"/>
  <c r="O39" i="3"/>
  <c r="S39" i="3"/>
  <c r="T39" i="3"/>
  <c r="U39" i="3"/>
  <c r="W39" i="3"/>
  <c r="X39" i="3" s="1"/>
  <c r="Y39" i="3"/>
  <c r="Z39" i="3"/>
  <c r="AB39" i="3" s="1"/>
  <c r="AA39" i="3"/>
  <c r="AC39" i="3"/>
  <c r="AD39" i="3"/>
  <c r="AF39" i="3" s="1"/>
  <c r="AE39" i="3"/>
  <c r="AG39" i="3"/>
  <c r="AH39" i="3"/>
  <c r="AJ39" i="3" s="1"/>
  <c r="AI39" i="3"/>
  <c r="AK39" i="3"/>
  <c r="AL39" i="3"/>
  <c r="AN39" i="3" s="1"/>
  <c r="AM39" i="3"/>
  <c r="AO39" i="3"/>
  <c r="AP39" i="3"/>
  <c r="AR39" i="3" s="1"/>
  <c r="AQ39" i="3"/>
  <c r="AS39" i="3"/>
  <c r="AU39" i="3"/>
  <c r="AV39" i="3" s="1"/>
  <c r="AX39" i="3"/>
  <c r="C40" i="3"/>
  <c r="F40" i="3"/>
  <c r="G40" i="3"/>
  <c r="J40" i="3"/>
  <c r="K40" i="3"/>
  <c r="N40" i="3"/>
  <c r="O40" i="3"/>
  <c r="R40" i="3"/>
  <c r="S40" i="3"/>
  <c r="V40" i="3"/>
  <c r="W40" i="3"/>
  <c r="Z40" i="3"/>
  <c r="AA40" i="3"/>
  <c r="AD40" i="3"/>
  <c r="AE40" i="3"/>
  <c r="AH40" i="3"/>
  <c r="AI40" i="3"/>
  <c r="AL40" i="3"/>
  <c r="AM40" i="3"/>
  <c r="AP40" i="3"/>
  <c r="AQ40" i="3"/>
  <c r="AT40" i="3"/>
  <c r="AU40" i="3"/>
  <c r="AX40" i="3"/>
  <c r="C41" i="3"/>
  <c r="D41" i="3"/>
  <c r="E41" i="3"/>
  <c r="G41" i="3"/>
  <c r="H41" i="3" s="1"/>
  <c r="I41" i="3"/>
  <c r="K41" i="3"/>
  <c r="L41" i="3" s="1"/>
  <c r="O41" i="3"/>
  <c r="R41" i="3"/>
  <c r="S41" i="3"/>
  <c r="V41" i="3"/>
  <c r="W41" i="3"/>
  <c r="Z41" i="3"/>
  <c r="AA41" i="3"/>
  <c r="AD41" i="3"/>
  <c r="AE41" i="3"/>
  <c r="AH41" i="3"/>
  <c r="AI41" i="3"/>
  <c r="AL41" i="3"/>
  <c r="AM41" i="3"/>
  <c r="AQ41" i="3"/>
  <c r="AR41" i="3"/>
  <c r="AS41" i="3"/>
  <c r="AU41" i="3"/>
  <c r="AV41" i="3" s="1"/>
  <c r="AW41" i="3"/>
  <c r="AX41" i="3"/>
  <c r="B42" i="3"/>
  <c r="D42" i="3" s="1"/>
  <c r="C42" i="3"/>
  <c r="E42" i="3"/>
  <c r="F42" i="3"/>
  <c r="H42" i="3" s="1"/>
  <c r="G42" i="3"/>
  <c r="I42" i="3"/>
  <c r="J42" i="3"/>
  <c r="L42" i="3" s="1"/>
  <c r="K42" i="3"/>
  <c r="M42" i="3"/>
  <c r="N42" i="3"/>
  <c r="P42" i="3" s="1"/>
  <c r="O42" i="3"/>
  <c r="Q42" i="3"/>
  <c r="R42" i="3"/>
  <c r="T42" i="3" s="1"/>
  <c r="S42" i="3"/>
  <c r="U42" i="3"/>
  <c r="V42" i="3"/>
  <c r="X42" i="3" s="1"/>
  <c r="W42" i="3"/>
  <c r="Y42" i="3"/>
  <c r="Z42" i="3"/>
  <c r="AB42" i="3" s="1"/>
  <c r="AA42" i="3"/>
  <c r="AC42" i="3"/>
  <c r="AD42" i="3"/>
  <c r="AF42" i="3" s="1"/>
  <c r="AE42" i="3"/>
  <c r="AG42" i="3"/>
  <c r="AH42" i="3"/>
  <c r="AJ42" i="3" s="1"/>
  <c r="AI42" i="3"/>
  <c r="AK42" i="3"/>
  <c r="AL42" i="3"/>
  <c r="AN42" i="3" s="1"/>
  <c r="AM42" i="3"/>
  <c r="AO42" i="3"/>
  <c r="AQ42" i="3"/>
  <c r="AR42" i="3" s="1"/>
  <c r="AU42" i="3"/>
  <c r="B43" i="3"/>
  <c r="C43" i="3"/>
  <c r="F43" i="3"/>
  <c r="G43" i="3"/>
  <c r="J43" i="3"/>
  <c r="K43" i="3"/>
  <c r="N43" i="3"/>
  <c r="O43" i="3"/>
  <c r="R43" i="3"/>
  <c r="S43" i="3"/>
  <c r="V43" i="3"/>
  <c r="W43" i="3"/>
  <c r="AA43" i="3"/>
  <c r="AB43" i="3"/>
  <c r="AC43" i="3"/>
  <c r="AE43" i="3"/>
  <c r="AF43" i="3" s="1"/>
  <c r="AG43" i="3"/>
  <c r="AI43" i="3"/>
  <c r="AJ43" i="3" s="1"/>
  <c r="AL43" i="3"/>
  <c r="AM43" i="3"/>
  <c r="AO43" i="3" s="1"/>
  <c r="AQ43" i="3"/>
  <c r="AU43" i="3"/>
  <c r="AV43" i="3"/>
  <c r="AW43" i="3"/>
  <c r="D44" i="3"/>
  <c r="E44" i="3"/>
  <c r="H44" i="3"/>
  <c r="I44" i="3"/>
  <c r="L44" i="3"/>
  <c r="M44" i="3"/>
  <c r="P44" i="3"/>
  <c r="Q44" i="3"/>
  <c r="T44" i="3"/>
  <c r="U44" i="3"/>
  <c r="X44" i="3"/>
  <c r="Y44" i="3"/>
  <c r="Z44" i="3"/>
  <c r="AB44" i="3" s="1"/>
  <c r="AC44" i="3"/>
  <c r="AF44" i="3"/>
  <c r="AG44" i="3"/>
  <c r="AH44" i="3"/>
  <c r="AJ44" i="3"/>
  <c r="AK44" i="3"/>
  <c r="AL44" i="3"/>
  <c r="AN44" i="3" s="1"/>
  <c r="AO44" i="3"/>
  <c r="AP44" i="3"/>
  <c r="AR44" i="3" s="1"/>
  <c r="AS44" i="3"/>
  <c r="AV44" i="3"/>
  <c r="AW44" i="3"/>
  <c r="BA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U45" i="3"/>
  <c r="AV45" i="3" s="1"/>
  <c r="AW45" i="3"/>
  <c r="AX45" i="3"/>
  <c r="AZ45" i="3" s="1"/>
  <c r="B46" i="3"/>
  <c r="C46" i="3"/>
  <c r="E46" i="3"/>
  <c r="F46" i="3"/>
  <c r="H46" i="3" s="1"/>
  <c r="G46" i="3"/>
  <c r="I46" i="3"/>
  <c r="J46" i="3"/>
  <c r="K46" i="3"/>
  <c r="N46" i="3"/>
  <c r="P46" i="3" s="1"/>
  <c r="O46" i="3"/>
  <c r="R46" i="3"/>
  <c r="T46" i="3" s="1"/>
  <c r="S46" i="3"/>
  <c r="U46" i="3"/>
  <c r="V46" i="3"/>
  <c r="X46" i="3" s="1"/>
  <c r="W46" i="3"/>
  <c r="Y46" i="3"/>
  <c r="Z46" i="3"/>
  <c r="AA46" i="3"/>
  <c r="AD46" i="3"/>
  <c r="AF46" i="3" s="1"/>
  <c r="AE46" i="3"/>
  <c r="AH46" i="3"/>
  <c r="AJ46" i="3" s="1"/>
  <c r="AI46" i="3"/>
  <c r="AK46" i="3"/>
  <c r="AL46" i="3"/>
  <c r="AN46" i="3" s="1"/>
  <c r="AM46" i="3"/>
  <c r="AO46" i="3"/>
  <c r="AQ46" i="3"/>
  <c r="AU46" i="3"/>
  <c r="AW46" i="3" s="1"/>
  <c r="AV46" i="3"/>
  <c r="B47" i="3"/>
  <c r="C47" i="3"/>
  <c r="D47" i="3"/>
  <c r="F47" i="3"/>
  <c r="G47" i="3"/>
  <c r="I47" i="3" s="1"/>
  <c r="H47" i="3"/>
  <c r="J47" i="3"/>
  <c r="K47" i="3"/>
  <c r="N47" i="3"/>
  <c r="O47" i="3"/>
  <c r="Q47" i="3" s="1"/>
  <c r="P47" i="3"/>
  <c r="R47" i="3"/>
  <c r="S47" i="3"/>
  <c r="U47" i="3" s="1"/>
  <c r="T47" i="3"/>
  <c r="V47" i="3"/>
  <c r="W47" i="3"/>
  <c r="Y47" i="3" s="1"/>
  <c r="X47" i="3"/>
  <c r="Z47" i="3"/>
  <c r="AA47" i="3"/>
  <c r="AD47" i="3"/>
  <c r="AE47" i="3"/>
  <c r="AG47" i="3" s="1"/>
  <c r="AF47" i="3"/>
  <c r="AH47" i="3"/>
  <c r="AI47" i="3"/>
  <c r="AK47" i="3" s="1"/>
  <c r="AJ47" i="3"/>
  <c r="AL47" i="3"/>
  <c r="AM47" i="3"/>
  <c r="AO47" i="3" s="1"/>
  <c r="AN47" i="3"/>
  <c r="AP47" i="3"/>
  <c r="AQ47" i="3"/>
  <c r="AU47" i="3"/>
  <c r="AV47" i="3"/>
  <c r="AW47" i="3"/>
  <c r="AX47" i="3"/>
  <c r="B48" i="3"/>
  <c r="C48" i="3"/>
  <c r="D48" i="3"/>
  <c r="E48" i="3"/>
  <c r="F48" i="3"/>
  <c r="G48" i="3"/>
  <c r="J48" i="3"/>
  <c r="K48" i="3"/>
  <c r="N48" i="3"/>
  <c r="O48" i="3"/>
  <c r="R48" i="3"/>
  <c r="S48" i="3"/>
  <c r="V48" i="3"/>
  <c r="W48" i="3"/>
  <c r="Z48" i="3"/>
  <c r="AA48" i="3"/>
  <c r="AD48" i="3"/>
  <c r="AE48" i="3"/>
  <c r="AH48" i="3"/>
  <c r="AI48" i="3"/>
  <c r="AL48" i="3"/>
  <c r="AM48" i="3"/>
  <c r="AP48" i="3"/>
  <c r="AQ48" i="3"/>
  <c r="AU48" i="3"/>
  <c r="B49" i="3"/>
  <c r="D49" i="3"/>
  <c r="E49" i="3"/>
  <c r="F49" i="3"/>
  <c r="H49" i="3" s="1"/>
  <c r="I49" i="3"/>
  <c r="J49" i="3"/>
  <c r="L49" i="3"/>
  <c r="M49" i="3"/>
  <c r="N49" i="3"/>
  <c r="P49" i="3" s="1"/>
  <c r="Q49" i="3"/>
  <c r="R49" i="3"/>
  <c r="T49" i="3" s="1"/>
  <c r="U49" i="3"/>
  <c r="V49" i="3"/>
  <c r="X49" i="3"/>
  <c r="Y49" i="3"/>
  <c r="AB49" i="3"/>
  <c r="AC49" i="3"/>
  <c r="AD49" i="3"/>
  <c r="AF49" i="3" s="1"/>
  <c r="AG49" i="3"/>
  <c r="AH49" i="3"/>
  <c r="AJ49" i="3"/>
  <c r="AK49" i="3"/>
  <c r="AL49" i="3"/>
  <c r="AN49" i="3"/>
  <c r="AO49" i="3"/>
  <c r="AP49" i="3"/>
  <c r="AR49" i="3" s="1"/>
  <c r="AS49" i="3"/>
  <c r="AV49" i="3"/>
  <c r="AW49" i="3"/>
  <c r="BA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Z50" i="3"/>
  <c r="BA50" i="3"/>
  <c r="C51" i="3"/>
  <c r="D51" i="3"/>
  <c r="E51" i="3"/>
  <c r="G51" i="3"/>
  <c r="I51" i="3"/>
  <c r="K51" i="3"/>
  <c r="M51" i="3" s="1"/>
  <c r="L51" i="3"/>
  <c r="O51" i="3"/>
  <c r="Q51" i="3" s="1"/>
  <c r="P51" i="3"/>
  <c r="S51" i="3"/>
  <c r="T51" i="3"/>
  <c r="U51" i="3"/>
  <c r="W51" i="3"/>
  <c r="X51" i="3" s="1"/>
  <c r="Y51" i="3"/>
  <c r="AA51" i="3"/>
  <c r="AC51" i="3" s="1"/>
  <c r="AB51" i="3"/>
  <c r="AD51" i="3"/>
  <c r="AE51" i="3"/>
  <c r="AG51" i="3" s="1"/>
  <c r="AF51" i="3"/>
  <c r="AI51" i="3"/>
  <c r="AM51" i="3"/>
  <c r="AN51" i="3"/>
  <c r="AO51" i="3"/>
  <c r="AP51" i="3"/>
  <c r="AS51" i="3" s="1"/>
  <c r="AQ51" i="3"/>
  <c r="AR51" i="3"/>
  <c r="AT51" i="3"/>
  <c r="AW51" i="3" s="1"/>
  <c r="AU51" i="3"/>
  <c r="AV51" i="3"/>
  <c r="AX51" i="3"/>
  <c r="C52" i="3"/>
  <c r="E52" i="3"/>
  <c r="F52" i="3"/>
  <c r="G52" i="3"/>
  <c r="I52" i="3" s="1"/>
  <c r="J52" i="3"/>
  <c r="K52" i="3"/>
  <c r="M52" i="3"/>
  <c r="N52" i="3"/>
  <c r="O52" i="3"/>
  <c r="Q52" i="3"/>
  <c r="S52" i="3"/>
  <c r="V52" i="3"/>
  <c r="W52" i="3"/>
  <c r="Y52" i="3" s="1"/>
  <c r="X52" i="3"/>
  <c r="Z52" i="3"/>
  <c r="AA52" i="3"/>
  <c r="AC52" i="3" s="1"/>
  <c r="AB52" i="3"/>
  <c r="AD52" i="3"/>
  <c r="AE52" i="3"/>
  <c r="AI52" i="3"/>
  <c r="AK52" i="3" s="1"/>
  <c r="AJ52" i="3"/>
  <c r="AL52" i="3"/>
  <c r="AM52" i="3"/>
  <c r="AO52" i="3" s="1"/>
  <c r="AN52" i="3"/>
  <c r="AP52" i="3"/>
  <c r="AQ52" i="3"/>
  <c r="AS52" i="3" s="1"/>
  <c r="AR52" i="3"/>
  <c r="AU52" i="3"/>
  <c r="AV52" i="3"/>
  <c r="AW52" i="3"/>
  <c r="C53" i="3"/>
  <c r="G53" i="3"/>
  <c r="I53" i="3" s="1"/>
  <c r="H53" i="3"/>
  <c r="K53" i="3"/>
  <c r="O53" i="3"/>
  <c r="P53" i="3"/>
  <c r="Q53" i="3"/>
  <c r="S53" i="3"/>
  <c r="T53" i="3" s="1"/>
  <c r="U53" i="3"/>
  <c r="W53" i="3"/>
  <c r="Z53" i="3"/>
  <c r="AA53" i="3"/>
  <c r="AC53" i="3" s="1"/>
  <c r="AB53" i="3"/>
  <c r="AE53" i="3"/>
  <c r="AF53" i="3"/>
  <c r="AG53" i="3"/>
  <c r="AI53" i="3"/>
  <c r="AJ53" i="3"/>
  <c r="AK53" i="3"/>
  <c r="AL53" i="3"/>
  <c r="AN53" i="3" s="1"/>
  <c r="AM53" i="3"/>
  <c r="AQ53" i="3"/>
  <c r="AR53" i="3" s="1"/>
  <c r="AS53" i="3"/>
  <c r="AU53" i="3"/>
  <c r="AW53" i="3" s="1"/>
  <c r="AV53" i="3"/>
  <c r="AX53" i="3"/>
  <c r="C54" i="3"/>
  <c r="D54" i="3"/>
  <c r="E54" i="3"/>
  <c r="G54" i="3"/>
  <c r="H54" i="3"/>
  <c r="I54" i="3"/>
  <c r="K54" i="3"/>
  <c r="O54" i="3"/>
  <c r="Q54" i="3" s="1"/>
  <c r="P54" i="3"/>
  <c r="S54" i="3"/>
  <c r="W54" i="3"/>
  <c r="X54" i="3"/>
  <c r="Y54" i="3"/>
  <c r="AA54" i="3"/>
  <c r="AB54" i="3" s="1"/>
  <c r="AC54" i="3"/>
  <c r="AE54" i="3"/>
  <c r="AI54" i="3"/>
  <c r="AJ54" i="3"/>
  <c r="AK54" i="3"/>
  <c r="AL54" i="3"/>
  <c r="AM54" i="3"/>
  <c r="AN54" i="3"/>
  <c r="AO54" i="3"/>
  <c r="AP54" i="3"/>
  <c r="AQ54" i="3"/>
  <c r="AR54" i="3"/>
  <c r="AS54" i="3"/>
  <c r="AU54" i="3"/>
  <c r="AV54" i="3"/>
  <c r="AW54" i="3"/>
  <c r="AX54" i="3"/>
  <c r="D55" i="3"/>
  <c r="E55" i="3"/>
  <c r="H55" i="3"/>
  <c r="I55" i="3"/>
  <c r="L55" i="3"/>
  <c r="M55" i="3"/>
  <c r="P55" i="3"/>
  <c r="Q55" i="3"/>
  <c r="T55" i="3"/>
  <c r="U55" i="3"/>
  <c r="X55" i="3"/>
  <c r="Y55" i="3"/>
  <c r="AB55" i="3"/>
  <c r="AC55" i="3"/>
  <c r="AF55" i="3"/>
  <c r="AG55" i="3"/>
  <c r="AJ55" i="3"/>
  <c r="AK55" i="3"/>
  <c r="AN55" i="3"/>
  <c r="AO55" i="3"/>
  <c r="AP55" i="3"/>
  <c r="AR55" i="3" s="1"/>
  <c r="AS55" i="3"/>
  <c r="AT55" i="3"/>
  <c r="AV55" i="3"/>
  <c r="AW55" i="3"/>
  <c r="AX55" i="3"/>
  <c r="AZ55" i="3" s="1"/>
  <c r="BA55" i="3"/>
  <c r="B56" i="3"/>
  <c r="N56" i="3"/>
  <c r="R56" i="3"/>
  <c r="V56" i="3"/>
  <c r="Z56" i="3"/>
  <c r="AH56" i="3"/>
  <c r="AL56" i="3"/>
  <c r="AP56" i="3"/>
  <c r="AT56" i="3"/>
  <c r="D57" i="3"/>
  <c r="E57" i="3"/>
  <c r="H57" i="3"/>
  <c r="I57" i="3"/>
  <c r="L57" i="3"/>
  <c r="M57" i="3"/>
  <c r="P57" i="3"/>
  <c r="Q57" i="3"/>
  <c r="T57" i="3"/>
  <c r="U57" i="3"/>
  <c r="X57" i="3"/>
  <c r="Y57" i="3"/>
  <c r="AB57" i="3"/>
  <c r="AC57" i="3"/>
  <c r="AF57" i="3"/>
  <c r="AG57" i="3"/>
  <c r="AJ57" i="3"/>
  <c r="AK57" i="3"/>
  <c r="AN57" i="3"/>
  <c r="AO57" i="3"/>
  <c r="AR57" i="3"/>
  <c r="AS57" i="3"/>
  <c r="AV57" i="3"/>
  <c r="AW57" i="3"/>
  <c r="AX57" i="3"/>
  <c r="AZ57" i="3" s="1"/>
  <c r="BA57" i="3"/>
  <c r="B58" i="3"/>
  <c r="C58" i="3"/>
  <c r="F58" i="3"/>
  <c r="G58" i="3"/>
  <c r="J58" i="3"/>
  <c r="K58" i="3"/>
  <c r="N58" i="3"/>
  <c r="O58" i="3"/>
  <c r="R58" i="3"/>
  <c r="S58" i="3"/>
  <c r="V58" i="3"/>
  <c r="W58" i="3"/>
  <c r="Z58" i="3"/>
  <c r="AA58" i="3"/>
  <c r="AD58" i="3"/>
  <c r="AE58" i="3"/>
  <c r="AH58" i="3"/>
  <c r="AI58" i="3"/>
  <c r="AL58" i="3"/>
  <c r="AM58" i="3"/>
  <c r="AQ58" i="3"/>
  <c r="AU58" i="3"/>
  <c r="AW58" i="3" s="1"/>
  <c r="AV58" i="3"/>
  <c r="C59" i="3"/>
  <c r="D59" i="3"/>
  <c r="E59" i="3"/>
  <c r="G59" i="3"/>
  <c r="H59" i="3" s="1"/>
  <c r="I59" i="3"/>
  <c r="K59" i="3"/>
  <c r="O59" i="3"/>
  <c r="Q59" i="3" s="1"/>
  <c r="P59" i="3"/>
  <c r="S59" i="3"/>
  <c r="T59" i="3"/>
  <c r="U59" i="3"/>
  <c r="W59" i="3"/>
  <c r="X59" i="3" s="1"/>
  <c r="Y59" i="3"/>
  <c r="AA59" i="3"/>
  <c r="AE59" i="3"/>
  <c r="AG59" i="3" s="1"/>
  <c r="AF59" i="3"/>
  <c r="AI59" i="3"/>
  <c r="AJ59" i="3"/>
  <c r="AK59" i="3"/>
  <c r="AM59" i="3"/>
  <c r="AN59" i="3" s="1"/>
  <c r="AO59" i="3"/>
  <c r="AQ59" i="3"/>
  <c r="AU59" i="3"/>
  <c r="AW59" i="3" s="1"/>
  <c r="AV59" i="3"/>
  <c r="AX59" i="3"/>
  <c r="D60" i="3"/>
  <c r="E60" i="3"/>
  <c r="H60" i="3"/>
  <c r="I60" i="3"/>
  <c r="L60" i="3"/>
  <c r="M60" i="3"/>
  <c r="P60" i="3"/>
  <c r="Q60" i="3"/>
  <c r="T60" i="3"/>
  <c r="U60" i="3"/>
  <c r="X60" i="3"/>
  <c r="Y60" i="3"/>
  <c r="AB60" i="3"/>
  <c r="AC60" i="3"/>
  <c r="AD60" i="3"/>
  <c r="AG60" i="3"/>
  <c r="AJ60" i="3"/>
  <c r="AK60" i="3"/>
  <c r="AN60" i="3"/>
  <c r="AO60" i="3"/>
  <c r="AR60" i="3"/>
  <c r="AS60" i="3"/>
  <c r="AV60" i="3"/>
  <c r="AW60" i="3"/>
  <c r="BA60" i="3"/>
  <c r="D61" i="3"/>
  <c r="E61" i="3"/>
  <c r="H61" i="3"/>
  <c r="I61" i="3"/>
  <c r="L61" i="3"/>
  <c r="M61" i="3"/>
  <c r="P61" i="3"/>
  <c r="Q61" i="3"/>
  <c r="T61" i="3"/>
  <c r="U61" i="3"/>
  <c r="X61" i="3"/>
  <c r="Y61" i="3"/>
  <c r="AB61" i="3"/>
  <c r="AC61" i="3"/>
  <c r="AF61" i="3"/>
  <c r="AG61" i="3"/>
  <c r="AJ61" i="3"/>
  <c r="AK61" i="3"/>
  <c r="AL61" i="3"/>
  <c r="AN61" i="3"/>
  <c r="AO61" i="3"/>
  <c r="AR61" i="3"/>
  <c r="AS61" i="3"/>
  <c r="AV61" i="3"/>
  <c r="AW61" i="3"/>
  <c r="AX61" i="3"/>
  <c r="AZ61" i="3" s="1"/>
  <c r="BA61" i="3"/>
  <c r="B62" i="3"/>
  <c r="D62" i="3" s="1"/>
  <c r="C62" i="3"/>
  <c r="G62" i="3"/>
  <c r="J62" i="3"/>
  <c r="K62" i="3"/>
  <c r="M62" i="3" s="1"/>
  <c r="N62" i="3"/>
  <c r="O62" i="3"/>
  <c r="Q62" i="3" s="1"/>
  <c r="R62" i="3"/>
  <c r="S62" i="3"/>
  <c r="V62" i="3"/>
  <c r="W62" i="3"/>
  <c r="Z62" i="3"/>
  <c r="AA62" i="3"/>
  <c r="AC62" i="3" s="1"/>
  <c r="AD62" i="3"/>
  <c r="AE62" i="3"/>
  <c r="AG62" i="3" s="1"/>
  <c r="AH62" i="3"/>
  <c r="AI62" i="3"/>
  <c r="AM62" i="3"/>
  <c r="AN62" i="3"/>
  <c r="AQ62" i="3"/>
  <c r="AR62" i="3"/>
  <c r="AS62" i="3"/>
  <c r="AU62" i="3"/>
  <c r="AV62" i="3"/>
  <c r="AW62" i="3"/>
  <c r="B63" i="3"/>
  <c r="E63" i="3"/>
  <c r="F63" i="3"/>
  <c r="H63" i="3"/>
  <c r="I63" i="3"/>
  <c r="J63" i="3"/>
  <c r="L63" i="3"/>
  <c r="M63" i="3"/>
  <c r="N63" i="3"/>
  <c r="P63" i="3"/>
  <c r="Q63" i="3"/>
  <c r="R63" i="3"/>
  <c r="U63" i="3"/>
  <c r="V63" i="3"/>
  <c r="X63" i="3" s="1"/>
  <c r="Y63" i="3"/>
  <c r="Z63" i="3"/>
  <c r="AB63" i="3"/>
  <c r="AC63" i="3"/>
  <c r="AD63" i="3"/>
  <c r="AF63" i="3"/>
  <c r="AG63" i="3"/>
  <c r="AH63" i="3"/>
  <c r="AJ63" i="3" s="1"/>
  <c r="AK63" i="3"/>
  <c r="AN63" i="3"/>
  <c r="AO63" i="3"/>
  <c r="AP63" i="3"/>
  <c r="AR63" i="3"/>
  <c r="AS63" i="3"/>
  <c r="AV63" i="3"/>
  <c r="AW63" i="3"/>
  <c r="BA63" i="3"/>
  <c r="D64" i="3"/>
  <c r="E64" i="3"/>
  <c r="H64" i="3"/>
  <c r="I64" i="3"/>
  <c r="L64" i="3"/>
  <c r="M64" i="3"/>
  <c r="N64" i="3"/>
  <c r="Q64" i="3"/>
  <c r="R64" i="3"/>
  <c r="T64" i="3" s="1"/>
  <c r="U64" i="3"/>
  <c r="X64" i="3"/>
  <c r="Y64" i="3"/>
  <c r="AB64" i="3"/>
  <c r="AC64" i="3"/>
  <c r="AF64" i="3"/>
  <c r="AG64" i="3"/>
  <c r="AH64" i="3"/>
  <c r="AJ64" i="3" s="1"/>
  <c r="AK64" i="3"/>
  <c r="AN64" i="3"/>
  <c r="AO64" i="3"/>
  <c r="AR64" i="3"/>
  <c r="AS64" i="3"/>
  <c r="AV64" i="3"/>
  <c r="AW64" i="3"/>
  <c r="BA64" i="3"/>
  <c r="C65" i="3"/>
  <c r="D65" i="3"/>
  <c r="E65" i="3"/>
  <c r="G65" i="3"/>
  <c r="K65" i="3"/>
  <c r="M65" i="3" s="1"/>
  <c r="O65" i="3"/>
  <c r="P65" i="3"/>
  <c r="Q65" i="3"/>
  <c r="S65" i="3"/>
  <c r="T65" i="3"/>
  <c r="U65" i="3"/>
  <c r="W65" i="3"/>
  <c r="AA65" i="3"/>
  <c r="AC65" i="3" s="1"/>
  <c r="AB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U65" i="3"/>
  <c r="AV65" i="3"/>
  <c r="AW65" i="3"/>
  <c r="AX65" i="3"/>
  <c r="B66" i="3"/>
  <c r="D66" i="3" s="1"/>
  <c r="C66" i="3"/>
  <c r="J66" i="3"/>
  <c r="Z66" i="3"/>
  <c r="AH66" i="3"/>
  <c r="AP66" i="3"/>
  <c r="AT66" i="3"/>
  <c r="C67" i="3"/>
  <c r="G67" i="3"/>
  <c r="H67" i="3"/>
  <c r="K67" i="3"/>
  <c r="L67" i="3"/>
  <c r="M67" i="3"/>
  <c r="O67" i="3"/>
  <c r="P67" i="3" s="1"/>
  <c r="Q67" i="3"/>
  <c r="S67" i="3"/>
  <c r="W67" i="3"/>
  <c r="X67" i="3"/>
  <c r="AA67" i="3"/>
  <c r="AB67" i="3"/>
  <c r="AC67" i="3"/>
  <c r="AE67" i="3"/>
  <c r="AF67" i="3" s="1"/>
  <c r="AG67" i="3"/>
  <c r="AI67" i="3"/>
  <c r="AM67" i="3"/>
  <c r="AN67" i="3"/>
  <c r="AQ67" i="3"/>
  <c r="AR67" i="3"/>
  <c r="AS67" i="3"/>
  <c r="AU67" i="3"/>
  <c r="AV67" i="3" s="1"/>
  <c r="AW67" i="3"/>
  <c r="AX67" i="3"/>
  <c r="D68" i="3"/>
  <c r="E68" i="3"/>
  <c r="H68" i="3"/>
  <c r="I68" i="3"/>
  <c r="L68" i="3"/>
  <c r="M68" i="3"/>
  <c r="P68" i="3"/>
  <c r="Q68" i="3"/>
  <c r="T68" i="3"/>
  <c r="U68" i="3"/>
  <c r="X68" i="3"/>
  <c r="Y68" i="3"/>
  <c r="AB68" i="3"/>
  <c r="AC68" i="3"/>
  <c r="AF68" i="3"/>
  <c r="AG68" i="3"/>
  <c r="AJ68" i="3"/>
  <c r="AK68" i="3"/>
  <c r="AN68" i="3"/>
  <c r="AO68" i="3"/>
  <c r="AP68" i="3"/>
  <c r="AS68" i="3"/>
  <c r="AV68" i="3"/>
  <c r="AW68" i="3"/>
  <c r="BA68" i="3"/>
  <c r="C69" i="3"/>
  <c r="D69" i="3" s="1"/>
  <c r="E69" i="3"/>
  <c r="F69" i="3"/>
  <c r="G69" i="3"/>
  <c r="I69" i="3"/>
  <c r="J69" i="3"/>
  <c r="AX69" i="3" s="1"/>
  <c r="K69" i="3"/>
  <c r="M69" i="3"/>
  <c r="O69" i="3"/>
  <c r="R69" i="3"/>
  <c r="S69" i="3"/>
  <c r="W69" i="3"/>
  <c r="AA69" i="3"/>
  <c r="AB69" i="3"/>
  <c r="AC69" i="3"/>
  <c r="AE69" i="3"/>
  <c r="AF69" i="3" s="1"/>
  <c r="AG69" i="3"/>
  <c r="AI69" i="3"/>
  <c r="AM69" i="3"/>
  <c r="AQ69" i="3"/>
  <c r="AR69" i="3"/>
  <c r="AS69" i="3"/>
  <c r="AU69" i="3"/>
  <c r="AV69" i="3" s="1"/>
  <c r="AW69" i="3"/>
  <c r="D70" i="3"/>
  <c r="E70" i="3"/>
  <c r="H70" i="3"/>
  <c r="I70" i="3"/>
  <c r="L70" i="3"/>
  <c r="M70" i="3"/>
  <c r="P70" i="3"/>
  <c r="Q70" i="3"/>
  <c r="T70" i="3"/>
  <c r="U70" i="3"/>
  <c r="X70" i="3"/>
  <c r="Y70" i="3"/>
  <c r="AB70" i="3"/>
  <c r="AC70" i="3"/>
  <c r="AD70" i="3"/>
  <c r="AF70" i="3"/>
  <c r="AG70" i="3"/>
  <c r="AJ70" i="3"/>
  <c r="AK70" i="3"/>
  <c r="AN70" i="3"/>
  <c r="AO70" i="3"/>
  <c r="AR70" i="3"/>
  <c r="AS70" i="3"/>
  <c r="AV70" i="3"/>
  <c r="AW70" i="3"/>
  <c r="AX70" i="3"/>
  <c r="AZ70" i="3"/>
  <c r="BA70" i="3"/>
  <c r="B71" i="3"/>
  <c r="K71" i="3"/>
  <c r="N71" i="3"/>
  <c r="V71" i="3"/>
  <c r="Z71" i="3"/>
  <c r="AA71" i="3"/>
  <c r="AB71" i="3"/>
  <c r="AC71" i="3"/>
  <c r="AD71" i="3"/>
  <c r="AE71" i="3"/>
  <c r="AF71" i="3"/>
  <c r="AG71" i="3"/>
  <c r="AH71" i="3"/>
  <c r="AL71" i="3"/>
  <c r="AQ71" i="3"/>
  <c r="AT71" i="3"/>
  <c r="AU71" i="3"/>
  <c r="AV71" i="3"/>
  <c r="AW71" i="3"/>
  <c r="D72" i="3"/>
  <c r="E72" i="3"/>
  <c r="H72" i="3"/>
  <c r="I72" i="3"/>
  <c r="L72" i="3"/>
  <c r="M72" i="3"/>
  <c r="P72" i="3"/>
  <c r="Q72" i="3"/>
  <c r="T72" i="3"/>
  <c r="U72" i="3"/>
  <c r="X72" i="3"/>
  <c r="Y72" i="3"/>
  <c r="AB72" i="3"/>
  <c r="AC72" i="3"/>
  <c r="AF72" i="3"/>
  <c r="AG72" i="3"/>
  <c r="AJ72" i="3"/>
  <c r="AK72" i="3"/>
  <c r="AN72" i="3"/>
  <c r="AO72" i="3"/>
  <c r="AR72" i="3"/>
  <c r="AS72" i="3"/>
  <c r="AV72" i="3"/>
  <c r="AW72" i="3"/>
  <c r="AX72" i="3"/>
  <c r="AZ72" i="3"/>
  <c r="BA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Q73" i="3"/>
  <c r="AR73" i="3" s="1"/>
  <c r="AS73" i="3"/>
  <c r="AU73" i="3"/>
  <c r="AX73" i="3"/>
  <c r="AZ73" i="3" s="1"/>
  <c r="B74" i="3"/>
  <c r="D74" i="3" s="1"/>
  <c r="E74" i="3"/>
  <c r="F74" i="3"/>
  <c r="H74" i="3"/>
  <c r="I74" i="3"/>
  <c r="J74" i="3"/>
  <c r="L74" i="3" s="1"/>
  <c r="M74" i="3"/>
  <c r="N74" i="3"/>
  <c r="Q74" i="3"/>
  <c r="T74" i="3"/>
  <c r="U74" i="3"/>
  <c r="V74" i="3"/>
  <c r="X74" i="3"/>
  <c r="Y74" i="3"/>
  <c r="Z74" i="3"/>
  <c r="AC74" i="3"/>
  <c r="AF74" i="3"/>
  <c r="AG74" i="3"/>
  <c r="AJ74" i="3"/>
  <c r="AK74" i="3"/>
  <c r="AN74" i="3"/>
  <c r="AO74" i="3"/>
  <c r="AR74" i="3"/>
  <c r="AS74" i="3"/>
  <c r="AV74" i="3"/>
  <c r="AW74" i="3"/>
  <c r="BA74" i="3"/>
  <c r="D75" i="3"/>
  <c r="E75" i="3"/>
  <c r="H75" i="3"/>
  <c r="I75" i="3"/>
  <c r="L75" i="3"/>
  <c r="M75" i="3"/>
  <c r="P75" i="3"/>
  <c r="Q75" i="3"/>
  <c r="T75" i="3"/>
  <c r="U75" i="3"/>
  <c r="X75" i="3"/>
  <c r="Y75" i="3"/>
  <c r="AB75" i="3"/>
  <c r="AC75" i="3"/>
  <c r="AF75" i="3"/>
  <c r="AG75" i="3"/>
  <c r="AJ75" i="3"/>
  <c r="AK75" i="3"/>
  <c r="AL75" i="3"/>
  <c r="AN75" i="3" s="1"/>
  <c r="AO75" i="3"/>
  <c r="AR75" i="3"/>
  <c r="AS75" i="3"/>
  <c r="AV75" i="3"/>
  <c r="AW75" i="3"/>
  <c r="BA75" i="3"/>
  <c r="D76" i="3"/>
  <c r="E76" i="3"/>
  <c r="H76" i="3"/>
  <c r="I76" i="3"/>
  <c r="L76" i="3"/>
  <c r="M76" i="3"/>
  <c r="P76" i="3"/>
  <c r="Q76" i="3"/>
  <c r="R76" i="3"/>
  <c r="AX76" i="3" s="1"/>
  <c r="T76" i="3"/>
  <c r="U76" i="3"/>
  <c r="X76" i="3"/>
  <c r="Y76" i="3"/>
  <c r="AB76" i="3"/>
  <c r="AC76" i="3"/>
  <c r="AF76" i="3"/>
  <c r="AG76" i="3"/>
  <c r="AJ76" i="3"/>
  <c r="AK76" i="3"/>
  <c r="AL76" i="3"/>
  <c r="AN76" i="3"/>
  <c r="AO76" i="3"/>
  <c r="AR76" i="3"/>
  <c r="AS76" i="3"/>
  <c r="AT76" i="3"/>
  <c r="AV76" i="3"/>
  <c r="AW76" i="3"/>
  <c r="AZ76" i="3"/>
  <c r="BA76" i="3"/>
  <c r="D77" i="3"/>
  <c r="E77" i="3"/>
  <c r="H77" i="3"/>
  <c r="I77" i="3"/>
  <c r="J77" i="3"/>
  <c r="L77" i="3"/>
  <c r="M77" i="3"/>
  <c r="P77" i="3"/>
  <c r="Q77" i="3"/>
  <c r="T77" i="3"/>
  <c r="U77" i="3"/>
  <c r="X77" i="3"/>
  <c r="Y77" i="3"/>
  <c r="AB77" i="3"/>
  <c r="AC77" i="3"/>
  <c r="AF77" i="3"/>
  <c r="AG77" i="3"/>
  <c r="AJ77" i="3"/>
  <c r="AK77" i="3"/>
  <c r="AN77" i="3"/>
  <c r="AO77" i="3"/>
  <c r="AR77" i="3"/>
  <c r="AS77" i="3"/>
  <c r="AV77" i="3"/>
  <c r="AW77" i="3"/>
  <c r="AX77" i="3"/>
  <c r="BA77" i="3"/>
  <c r="AZ77" i="3"/>
  <c r="C78" i="3"/>
  <c r="F78" i="3"/>
  <c r="G78" i="3"/>
  <c r="J78" i="3"/>
  <c r="K78" i="3"/>
  <c r="M78" i="3" s="1"/>
  <c r="L78" i="3"/>
  <c r="O78" i="3"/>
  <c r="R78" i="3"/>
  <c r="S78" i="3"/>
  <c r="V78" i="3"/>
  <c r="W78" i="3"/>
  <c r="Y78" i="3" s="1"/>
  <c r="X78" i="3"/>
  <c r="AA78" i="3"/>
  <c r="AD78" i="3"/>
  <c r="AE78" i="3"/>
  <c r="AH78" i="3"/>
  <c r="AI78" i="3"/>
  <c r="AK78" i="3" s="1"/>
  <c r="AJ78" i="3"/>
  <c r="AM78" i="3"/>
  <c r="AP78" i="3"/>
  <c r="AQ78" i="3"/>
  <c r="AT78" i="3"/>
  <c r="AU78" i="3"/>
  <c r="AW78" i="3" s="1"/>
  <c r="AV78" i="3"/>
  <c r="D79" i="3"/>
  <c r="E79" i="3"/>
  <c r="H79" i="3"/>
  <c r="I79" i="3"/>
  <c r="L79" i="3"/>
  <c r="M79" i="3"/>
  <c r="P79" i="3"/>
  <c r="Q79" i="3"/>
  <c r="T79" i="3"/>
  <c r="U79" i="3"/>
  <c r="X79" i="3"/>
  <c r="Y79" i="3"/>
  <c r="AB79" i="3"/>
  <c r="AC79" i="3"/>
  <c r="AF79" i="3"/>
  <c r="AG79" i="3"/>
  <c r="AJ79" i="3"/>
  <c r="AK79" i="3"/>
  <c r="AN79" i="3"/>
  <c r="AO79" i="3"/>
  <c r="AR79" i="3"/>
  <c r="AS79" i="3"/>
  <c r="AV79" i="3"/>
  <c r="AW79" i="3"/>
  <c r="AX79" i="3"/>
  <c r="C80" i="3"/>
  <c r="D80" i="3"/>
  <c r="E80" i="3"/>
  <c r="G80" i="3"/>
  <c r="H80" i="3"/>
  <c r="I80" i="3"/>
  <c r="K80" i="3"/>
  <c r="O80" i="3"/>
  <c r="Q80" i="3" s="1"/>
  <c r="S80" i="3"/>
  <c r="T80" i="3"/>
  <c r="U80" i="3"/>
  <c r="W80" i="3"/>
  <c r="X80" i="3"/>
  <c r="Y80" i="3"/>
  <c r="AA80" i="3"/>
  <c r="AE80" i="3"/>
  <c r="AG80" i="3" s="1"/>
  <c r="AF80" i="3"/>
  <c r="AI80" i="3"/>
  <c r="AJ80" i="3"/>
  <c r="AK80" i="3"/>
  <c r="AM80" i="3"/>
  <c r="AN80" i="3"/>
  <c r="AO80" i="3"/>
  <c r="AQ80" i="3"/>
  <c r="AU80" i="3"/>
  <c r="AW80" i="3" s="1"/>
  <c r="AV80" i="3"/>
  <c r="AX80" i="3"/>
  <c r="B81" i="3"/>
  <c r="C81" i="3"/>
  <c r="D81" i="3" s="1"/>
  <c r="F81" i="3"/>
  <c r="G81" i="3"/>
  <c r="J81" i="3"/>
  <c r="K81" i="3"/>
  <c r="M81" i="3" s="1"/>
  <c r="L81" i="3"/>
  <c r="N81" i="3"/>
  <c r="O81" i="3"/>
  <c r="Q81" i="3" s="1"/>
  <c r="P81" i="3"/>
  <c r="R81" i="3"/>
  <c r="S81" i="3"/>
  <c r="U81" i="3" s="1"/>
  <c r="V81" i="3"/>
  <c r="W81" i="3"/>
  <c r="Z81" i="3"/>
  <c r="AA81" i="3"/>
  <c r="AC81" i="3" s="1"/>
  <c r="AB81" i="3"/>
  <c r="AD81" i="3"/>
  <c r="AE81" i="3"/>
  <c r="AG81" i="3" s="1"/>
  <c r="AF81" i="3"/>
  <c r="AH81" i="3"/>
  <c r="AI81" i="3"/>
  <c r="AK81" i="3" s="1"/>
  <c r="AL81" i="3"/>
  <c r="AM81" i="3"/>
  <c r="AQ81" i="3"/>
  <c r="AR81" i="3"/>
  <c r="AS81" i="3"/>
  <c r="AU81" i="3"/>
  <c r="AV81" i="3"/>
  <c r="AW81" i="3"/>
  <c r="AX81" i="3"/>
  <c r="D82" i="3"/>
  <c r="E82" i="3"/>
  <c r="H82" i="3"/>
  <c r="I82" i="3"/>
  <c r="L82" i="3"/>
  <c r="M82" i="3"/>
  <c r="P82" i="3"/>
  <c r="Q82" i="3"/>
  <c r="T82" i="3"/>
  <c r="U82" i="3"/>
  <c r="X82" i="3"/>
  <c r="Y82" i="3"/>
  <c r="Z82" i="3"/>
  <c r="AB82" i="3" s="1"/>
  <c r="AC82" i="3"/>
  <c r="AF82" i="3"/>
  <c r="AG82" i="3"/>
  <c r="AH82" i="3"/>
  <c r="AJ82" i="3"/>
  <c r="AK82" i="3"/>
  <c r="AL82" i="3"/>
  <c r="AN82" i="3" s="1"/>
  <c r="AO82" i="3"/>
  <c r="AR82" i="3"/>
  <c r="AS82" i="3"/>
  <c r="AV82" i="3"/>
  <c r="AW82" i="3"/>
  <c r="BA82" i="3"/>
  <c r="D83" i="3"/>
  <c r="E83" i="3"/>
  <c r="H83" i="3"/>
  <c r="I83" i="3"/>
  <c r="L83" i="3"/>
  <c r="M83" i="3"/>
  <c r="P83" i="3"/>
  <c r="Q83" i="3"/>
  <c r="T83" i="3"/>
  <c r="U83" i="3"/>
  <c r="X83" i="3"/>
  <c r="Y83" i="3"/>
  <c r="AB83" i="3"/>
  <c r="AC83" i="3"/>
  <c r="AD83" i="3"/>
  <c r="AF83" i="3"/>
  <c r="AG83" i="3"/>
  <c r="AH83" i="3"/>
  <c r="AJ83" i="3" s="1"/>
  <c r="AK83" i="3"/>
  <c r="AL83" i="3"/>
  <c r="AN83" i="3" s="1"/>
  <c r="AO83" i="3"/>
  <c r="AR83" i="3"/>
  <c r="AS83" i="3"/>
  <c r="AV83" i="3"/>
  <c r="AW83" i="3"/>
  <c r="AX83" i="3"/>
  <c r="AZ83" i="3" s="1"/>
  <c r="BA83" i="3"/>
  <c r="D84" i="3"/>
  <c r="E84" i="3"/>
  <c r="H84" i="3"/>
  <c r="I84" i="3"/>
  <c r="L84" i="3"/>
  <c r="M84" i="3"/>
  <c r="P84" i="3"/>
  <c r="Q84" i="3"/>
  <c r="T84" i="3"/>
  <c r="U84" i="3"/>
  <c r="X84" i="3"/>
  <c r="Y84" i="3"/>
  <c r="AB84" i="3"/>
  <c r="AC84" i="3"/>
  <c r="AD84" i="3"/>
  <c r="AF84" i="3" s="1"/>
  <c r="AG84" i="3"/>
  <c r="AJ84" i="3"/>
  <c r="AK84" i="3"/>
  <c r="AN84" i="3"/>
  <c r="AO84" i="3"/>
  <c r="AR84" i="3"/>
  <c r="AS84" i="3"/>
  <c r="AV84" i="3"/>
  <c r="AW84" i="3"/>
  <c r="BA84" i="3"/>
  <c r="D85" i="3"/>
  <c r="E85" i="3"/>
  <c r="H85" i="3"/>
  <c r="I85" i="3"/>
  <c r="L85" i="3"/>
  <c r="M85" i="3"/>
  <c r="P85" i="3"/>
  <c r="Q85" i="3"/>
  <c r="T85" i="3"/>
  <c r="U85" i="3"/>
  <c r="X85" i="3"/>
  <c r="Y85" i="3"/>
  <c r="AB85" i="3"/>
  <c r="AC85" i="3"/>
  <c r="AD85" i="3"/>
  <c r="AF85" i="3" s="1"/>
  <c r="AG85" i="3"/>
  <c r="AJ85" i="3"/>
  <c r="AK85" i="3"/>
  <c r="AN85" i="3"/>
  <c r="AO85" i="3"/>
  <c r="AR85" i="3"/>
  <c r="AS85" i="3"/>
  <c r="AV85" i="3"/>
  <c r="AW85" i="3"/>
  <c r="AX85" i="3"/>
  <c r="AZ85" i="3" s="1"/>
  <c r="BA85" i="3"/>
  <c r="D86" i="3"/>
  <c r="E86" i="3"/>
  <c r="F86" i="3"/>
  <c r="H86" i="3"/>
  <c r="I86" i="3"/>
  <c r="J86" i="3"/>
  <c r="L86" i="3" s="1"/>
  <c r="M86" i="3"/>
  <c r="N86" i="3"/>
  <c r="Q86" i="3"/>
  <c r="T86" i="3"/>
  <c r="U86" i="3"/>
  <c r="X86" i="3"/>
  <c r="Y86" i="3"/>
  <c r="AB86" i="3"/>
  <c r="AC86" i="3"/>
  <c r="AD86" i="3"/>
  <c r="AF86" i="3" s="1"/>
  <c r="AG86" i="3"/>
  <c r="AH86" i="3"/>
  <c r="AK86" i="3"/>
  <c r="AL86" i="3"/>
  <c r="AN86" i="3"/>
  <c r="AO86" i="3"/>
  <c r="AR86" i="3"/>
  <c r="AS86" i="3"/>
  <c r="AV86" i="3"/>
  <c r="AW86" i="3"/>
  <c r="BA86" i="3"/>
  <c r="D87" i="3"/>
  <c r="E87" i="3"/>
  <c r="H87" i="3"/>
  <c r="I87" i="3"/>
  <c r="J87" i="3"/>
  <c r="L87" i="3"/>
  <c r="M87" i="3"/>
  <c r="P87" i="3"/>
  <c r="Q87" i="3"/>
  <c r="T87" i="3"/>
  <c r="U87" i="3"/>
  <c r="X87" i="3"/>
  <c r="Y87" i="3"/>
  <c r="Z87" i="3"/>
  <c r="AB87" i="3"/>
  <c r="AC87" i="3"/>
  <c r="AF87" i="3"/>
  <c r="AG87" i="3"/>
  <c r="AH87" i="3"/>
  <c r="AK87" i="3"/>
  <c r="AL87" i="3"/>
  <c r="AN87" i="3"/>
  <c r="AO87" i="3"/>
  <c r="AP87" i="3"/>
  <c r="AR87" i="3"/>
  <c r="AS87" i="3"/>
  <c r="AV87" i="3"/>
  <c r="AW87" i="3"/>
  <c r="BA87" i="3"/>
  <c r="D88" i="3"/>
  <c r="E88" i="3"/>
  <c r="H88" i="3"/>
  <c r="I88" i="3"/>
  <c r="J88" i="3"/>
  <c r="L88" i="3"/>
  <c r="M88" i="3"/>
  <c r="P88" i="3"/>
  <c r="Q88" i="3"/>
  <c r="T88" i="3"/>
  <c r="U88" i="3"/>
  <c r="X88" i="3"/>
  <c r="Y88" i="3"/>
  <c r="AB88" i="3"/>
  <c r="AC88" i="3"/>
  <c r="AF88" i="3"/>
  <c r="AG88" i="3"/>
  <c r="AJ88" i="3"/>
  <c r="AK88" i="3"/>
  <c r="AN88" i="3"/>
  <c r="AO88" i="3"/>
  <c r="AR88" i="3"/>
  <c r="AS88" i="3"/>
  <c r="AV88" i="3"/>
  <c r="AW88" i="3"/>
  <c r="AX88" i="3"/>
  <c r="AZ88" i="3" s="1"/>
  <c r="BA88" i="3"/>
  <c r="D89" i="3"/>
  <c r="E89" i="3"/>
  <c r="H89" i="3"/>
  <c r="I89" i="3"/>
  <c r="L89" i="3"/>
  <c r="M89" i="3"/>
  <c r="P89" i="3"/>
  <c r="Q89" i="3"/>
  <c r="T89" i="3"/>
  <c r="U89" i="3"/>
  <c r="X89" i="3"/>
  <c r="Y89" i="3"/>
  <c r="AB89" i="3"/>
  <c r="AC89" i="3"/>
  <c r="AF89" i="3"/>
  <c r="AG89" i="3"/>
  <c r="AH89" i="3"/>
  <c r="AK89" i="3"/>
  <c r="AN89" i="3"/>
  <c r="AO89" i="3"/>
  <c r="AR89" i="3"/>
  <c r="AS89" i="3"/>
  <c r="AV89" i="3"/>
  <c r="AW89" i="3"/>
  <c r="BA89" i="3"/>
  <c r="B90" i="3"/>
  <c r="D90" i="3" s="1"/>
  <c r="C90" i="3"/>
  <c r="E90" i="3"/>
  <c r="F90" i="3"/>
  <c r="J90" i="3"/>
  <c r="O90" i="3"/>
  <c r="R90" i="3"/>
  <c r="T90" i="3" s="1"/>
  <c r="S90" i="3"/>
  <c r="U90" i="3"/>
  <c r="V90" i="3"/>
  <c r="Z90" i="3"/>
  <c r="AB90" i="3" s="1"/>
  <c r="AA90" i="3"/>
  <c r="AC90" i="3"/>
  <c r="AD90" i="3"/>
  <c r="AF90" i="3" s="1"/>
  <c r="AE90" i="3"/>
  <c r="AG90" i="3"/>
  <c r="AI90" i="3"/>
  <c r="AL90" i="3"/>
  <c r="AP90" i="3"/>
  <c r="AR90" i="3" s="1"/>
  <c r="AQ90" i="3"/>
  <c r="AT90" i="3"/>
  <c r="AV90" i="3" s="1"/>
  <c r="AU90" i="3"/>
  <c r="AW90" i="3"/>
  <c r="D91" i="3"/>
  <c r="E91" i="3"/>
  <c r="H91" i="3"/>
  <c r="I91" i="3"/>
  <c r="L91" i="3"/>
  <c r="M91" i="3"/>
  <c r="P91" i="3"/>
  <c r="Q91" i="3"/>
  <c r="T91" i="3"/>
  <c r="U91" i="3"/>
  <c r="X91" i="3"/>
  <c r="Y91" i="3"/>
  <c r="AB91" i="3"/>
  <c r="AC91" i="3"/>
  <c r="AF91" i="3"/>
  <c r="AG91" i="3"/>
  <c r="AJ91" i="3"/>
  <c r="AK91" i="3"/>
  <c r="AN91" i="3"/>
  <c r="AO91" i="3"/>
  <c r="AR91" i="3"/>
  <c r="AS91" i="3"/>
  <c r="AV91" i="3"/>
  <c r="AW91" i="3"/>
  <c r="AX91" i="3"/>
  <c r="AZ91" i="3" s="1"/>
  <c r="BA91" i="3"/>
  <c r="D92" i="3"/>
  <c r="E92" i="3"/>
  <c r="H92" i="3"/>
  <c r="I92" i="3"/>
  <c r="L92" i="3"/>
  <c r="M92" i="3"/>
  <c r="P92" i="3"/>
  <c r="Q92" i="3"/>
  <c r="T92" i="3"/>
  <c r="U92" i="3"/>
  <c r="X92" i="3"/>
  <c r="Y92" i="3"/>
  <c r="Z92" i="3"/>
  <c r="AB92" i="3" s="1"/>
  <c r="AC92" i="3"/>
  <c r="AD92" i="3"/>
  <c r="AG92" i="3"/>
  <c r="AH92" i="3"/>
  <c r="AJ92" i="3"/>
  <c r="AK92" i="3"/>
  <c r="AL92" i="3"/>
  <c r="AN92" i="3" s="1"/>
  <c r="AO92" i="3"/>
  <c r="AR92" i="3"/>
  <c r="AS92" i="3"/>
  <c r="AV92" i="3"/>
  <c r="AW92" i="3"/>
  <c r="BA92" i="3"/>
  <c r="B93" i="3"/>
  <c r="C93" i="3"/>
  <c r="F93" i="3"/>
  <c r="G93" i="3"/>
  <c r="I93" i="3"/>
  <c r="J93" i="3"/>
  <c r="K93" i="3"/>
  <c r="M93" i="3"/>
  <c r="N93" i="3"/>
  <c r="O93" i="3"/>
  <c r="R93" i="3"/>
  <c r="S93" i="3"/>
  <c r="V93" i="3"/>
  <c r="W93" i="3"/>
  <c r="Y93" i="3"/>
  <c r="Z93" i="3"/>
  <c r="AA93" i="3"/>
  <c r="AC93" i="3"/>
  <c r="AD93" i="3"/>
  <c r="AE93" i="3"/>
  <c r="AH93" i="3"/>
  <c r="AI93" i="3"/>
  <c r="AL93" i="3"/>
  <c r="AM93" i="3"/>
  <c r="AO93" i="3"/>
  <c r="AQ93" i="3"/>
  <c r="AS93" i="3" s="1"/>
  <c r="AR93" i="3"/>
  <c r="AU93" i="3"/>
  <c r="AW93" i="3" s="1"/>
  <c r="AV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Q94" i="3"/>
  <c r="AR94" i="3"/>
  <c r="AS94" i="3"/>
  <c r="AU94" i="3"/>
  <c r="AX94" i="3"/>
  <c r="C95" i="3"/>
  <c r="E95" i="3" s="1"/>
  <c r="D95" i="3"/>
  <c r="F95" i="3"/>
  <c r="H95" i="3" s="1"/>
  <c r="G95" i="3"/>
  <c r="J95" i="3"/>
  <c r="K95" i="3"/>
  <c r="M95" i="3" s="1"/>
  <c r="L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Q95" i="3"/>
  <c r="AR95" i="3"/>
  <c r="AS95" i="3"/>
  <c r="AU95" i="3"/>
  <c r="AX95" i="3"/>
  <c r="B96" i="3"/>
  <c r="C96" i="3"/>
  <c r="F96" i="3"/>
  <c r="H96" i="3" s="1"/>
  <c r="G96" i="3"/>
  <c r="I96" i="3" s="1"/>
  <c r="J96" i="3"/>
  <c r="K96" i="3"/>
  <c r="N96" i="3"/>
  <c r="P96" i="3" s="1"/>
  <c r="O96" i="3"/>
  <c r="R96" i="3"/>
  <c r="S96" i="3"/>
  <c r="U96" i="3" s="1"/>
  <c r="V96" i="3"/>
  <c r="X96" i="3" s="1"/>
  <c r="W96" i="3"/>
  <c r="Z96" i="3"/>
  <c r="AA96" i="3"/>
  <c r="AD96" i="3"/>
  <c r="AF96" i="3" s="1"/>
  <c r="AE96" i="3"/>
  <c r="AH96" i="3"/>
  <c r="AI96" i="3"/>
  <c r="AK96" i="3" s="1"/>
  <c r="AL96" i="3"/>
  <c r="AN96" i="3" s="1"/>
  <c r="AM96" i="3"/>
  <c r="AQ96" i="3"/>
  <c r="AS96" i="3" s="1"/>
  <c r="AR96" i="3"/>
  <c r="AU96" i="3"/>
  <c r="AV96" i="3"/>
  <c r="AW96" i="3"/>
  <c r="C97" i="3"/>
  <c r="D97" i="3"/>
  <c r="E97" i="3"/>
  <c r="G97" i="3"/>
  <c r="K97" i="3"/>
  <c r="M97" i="3" s="1"/>
  <c r="L97" i="3"/>
  <c r="O97" i="3"/>
  <c r="P97" i="3"/>
  <c r="Q97" i="3"/>
  <c r="S97" i="3"/>
  <c r="T97" i="3"/>
  <c r="U97" i="3"/>
  <c r="W97" i="3"/>
  <c r="Z97" i="3"/>
  <c r="AA97" i="3"/>
  <c r="AC97" i="3" s="1"/>
  <c r="AD97" i="3"/>
  <c r="AF97" i="3" s="1"/>
  <c r="AE97" i="3"/>
  <c r="AG97" i="3" s="1"/>
  <c r="AH97" i="3"/>
  <c r="AI97" i="3"/>
  <c r="AK97" i="3" s="1"/>
  <c r="AL97" i="3"/>
  <c r="AN97" i="3" s="1"/>
  <c r="AM97" i="3"/>
  <c r="AO97" i="3" s="1"/>
  <c r="AQ97" i="3"/>
  <c r="AS97" i="3" s="1"/>
  <c r="AR97" i="3"/>
  <c r="AU97" i="3"/>
  <c r="AV97" i="3"/>
  <c r="AW97" i="3"/>
  <c r="B98" i="3"/>
  <c r="D98" i="3"/>
  <c r="E98" i="3"/>
  <c r="F98" i="3"/>
  <c r="I98" i="3"/>
  <c r="J98" i="3"/>
  <c r="L98" i="3"/>
  <c r="M98" i="3"/>
  <c r="N98" i="3"/>
  <c r="P98" i="3"/>
  <c r="Q98" i="3"/>
  <c r="T98" i="3"/>
  <c r="U98" i="3"/>
  <c r="X98" i="3"/>
  <c r="Y98" i="3"/>
  <c r="AB98" i="3"/>
  <c r="AC98" i="3"/>
  <c r="AF98" i="3"/>
  <c r="AG98" i="3"/>
  <c r="AJ98" i="3"/>
  <c r="AK98" i="3"/>
  <c r="AN98" i="3"/>
  <c r="AO98" i="3"/>
  <c r="AR98" i="3"/>
  <c r="AS98" i="3"/>
  <c r="AV98" i="3"/>
  <c r="AW98" i="3"/>
  <c r="BA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Q99" i="3"/>
  <c r="AR99" i="3"/>
  <c r="AS99" i="3"/>
  <c r="AU99" i="3"/>
  <c r="AX99" i="3"/>
  <c r="B100" i="3"/>
  <c r="D100" i="3"/>
  <c r="E100" i="3"/>
  <c r="F100" i="3"/>
  <c r="H100" i="3"/>
  <c r="I100" i="3"/>
  <c r="J100" i="3"/>
  <c r="L100" i="3"/>
  <c r="M100" i="3"/>
  <c r="N100" i="3"/>
  <c r="Q100" i="3"/>
  <c r="T100" i="3"/>
  <c r="U100" i="3"/>
  <c r="V100" i="3"/>
  <c r="X100" i="3"/>
  <c r="Y100" i="3"/>
  <c r="Z100" i="3"/>
  <c r="AB100" i="3" s="1"/>
  <c r="AC100" i="3"/>
  <c r="AF100" i="3"/>
  <c r="AG100" i="3"/>
  <c r="AJ100" i="3"/>
  <c r="AK100" i="3"/>
  <c r="AL100" i="3"/>
  <c r="AN100" i="3"/>
  <c r="AO100" i="3"/>
  <c r="AP100" i="3"/>
  <c r="AR100" i="3"/>
  <c r="AS100" i="3"/>
  <c r="AV100" i="3"/>
  <c r="AW100" i="3"/>
  <c r="BA100" i="3"/>
  <c r="D101" i="3"/>
  <c r="E101" i="3"/>
  <c r="H101" i="3"/>
  <c r="I101" i="3"/>
  <c r="L101" i="3"/>
  <c r="M101" i="3"/>
  <c r="P101" i="3"/>
  <c r="Q101" i="3"/>
  <c r="T101" i="3"/>
  <c r="U101" i="3"/>
  <c r="X101" i="3"/>
  <c r="Y101" i="3"/>
  <c r="AB101" i="3"/>
  <c r="AC101" i="3"/>
  <c r="AF101" i="3"/>
  <c r="AG101" i="3"/>
  <c r="AH101" i="3"/>
  <c r="AX101" i="3" s="1"/>
  <c r="AZ101" i="3" s="1"/>
  <c r="AJ101" i="3"/>
  <c r="AK101" i="3"/>
  <c r="AL101" i="3"/>
  <c r="AN101" i="3"/>
  <c r="AO101" i="3"/>
  <c r="AR101" i="3"/>
  <c r="AS101" i="3"/>
  <c r="AV101" i="3"/>
  <c r="AW101" i="3"/>
  <c r="BA101" i="3"/>
  <c r="B102" i="3"/>
  <c r="C102" i="3"/>
  <c r="D102" i="3"/>
  <c r="E102" i="3"/>
  <c r="F102" i="3"/>
  <c r="G102" i="3"/>
  <c r="G106" i="3" s="1"/>
  <c r="H102" i="3"/>
  <c r="I102" i="3"/>
  <c r="J102" i="3"/>
  <c r="K102" i="3"/>
  <c r="K106" i="3" s="1"/>
  <c r="L102" i="3"/>
  <c r="M102" i="3"/>
  <c r="N102" i="3"/>
  <c r="O102" i="3"/>
  <c r="O106" i="3" s="1"/>
  <c r="P102" i="3"/>
  <c r="Q102" i="3"/>
  <c r="S102" i="3"/>
  <c r="T102" i="3"/>
  <c r="U102" i="3"/>
  <c r="V102" i="3"/>
  <c r="W102" i="3"/>
  <c r="AA102" i="3"/>
  <c r="AE102" i="3"/>
  <c r="AG102" i="3" s="1"/>
  <c r="AF102" i="3"/>
  <c r="AH102" i="3"/>
  <c r="AI102" i="3"/>
  <c r="AK102" i="3" s="1"/>
  <c r="AJ102" i="3"/>
  <c r="AM102" i="3"/>
  <c r="AM106" i="3" s="1"/>
  <c r="AN102" i="3"/>
  <c r="AO102" i="3"/>
  <c r="AP102" i="3"/>
  <c r="AQ102" i="3"/>
  <c r="AQ106" i="3" s="1"/>
  <c r="AR102" i="3"/>
  <c r="AS102" i="3"/>
  <c r="AU102" i="3"/>
  <c r="AV102" i="3"/>
  <c r="AW102" i="3"/>
  <c r="AX102" i="3"/>
  <c r="D103" i="3"/>
  <c r="E103" i="3"/>
  <c r="H103" i="3"/>
  <c r="I103" i="3"/>
  <c r="L103" i="3"/>
  <c r="M103" i="3"/>
  <c r="P103" i="3"/>
  <c r="Q103" i="3"/>
  <c r="T103" i="3"/>
  <c r="U103" i="3"/>
  <c r="X103" i="3"/>
  <c r="Y103" i="3"/>
  <c r="AB103" i="3"/>
  <c r="AC103" i="3"/>
  <c r="AF103" i="3"/>
  <c r="AG103" i="3"/>
  <c r="AH103" i="3"/>
  <c r="AK103" i="3"/>
  <c r="AN103" i="3"/>
  <c r="AO103" i="3"/>
  <c r="AR103" i="3"/>
  <c r="AS103" i="3"/>
  <c r="AV103" i="3"/>
  <c r="AW103" i="3"/>
  <c r="BA103" i="3"/>
  <c r="B104" i="3"/>
  <c r="D104" i="3"/>
  <c r="E104" i="3"/>
  <c r="H104" i="3"/>
  <c r="I104" i="3"/>
  <c r="L104" i="3"/>
  <c r="M104" i="3"/>
  <c r="P104" i="3"/>
  <c r="Q104" i="3"/>
  <c r="T104" i="3"/>
  <c r="U104" i="3"/>
  <c r="X104" i="3"/>
  <c r="Y104" i="3"/>
  <c r="AB104" i="3"/>
  <c r="AC104" i="3"/>
  <c r="AF104" i="3"/>
  <c r="AG104" i="3"/>
  <c r="AJ104" i="3"/>
  <c r="AK104" i="3"/>
  <c r="AN104" i="3"/>
  <c r="AO104" i="3"/>
  <c r="AR104" i="3"/>
  <c r="AS104" i="3"/>
  <c r="AV104" i="3"/>
  <c r="AW104" i="3"/>
  <c r="AX104" i="3"/>
  <c r="BA104" i="3"/>
  <c r="AZ104" i="3"/>
  <c r="B105" i="3"/>
  <c r="C105" i="3"/>
  <c r="E105" i="3" s="1"/>
  <c r="D105" i="3"/>
  <c r="F105" i="3"/>
  <c r="G105" i="3"/>
  <c r="I105" i="3" s="1"/>
  <c r="H105" i="3"/>
  <c r="J105" i="3"/>
  <c r="K105" i="3"/>
  <c r="M105" i="3" s="1"/>
  <c r="L105" i="3"/>
  <c r="N105" i="3"/>
  <c r="O105" i="3"/>
  <c r="Q105" i="3" s="1"/>
  <c r="P105" i="3"/>
  <c r="R105" i="3"/>
  <c r="S105" i="3"/>
  <c r="U105" i="3" s="1"/>
  <c r="T105" i="3"/>
  <c r="W105" i="3"/>
  <c r="W106" i="3" s="1"/>
  <c r="X105" i="3"/>
  <c r="Y105" i="3"/>
  <c r="Z105" i="3"/>
  <c r="AA105" i="3"/>
  <c r="AB105" i="3"/>
  <c r="AC105" i="3"/>
  <c r="AD105" i="3"/>
  <c r="AE105" i="3"/>
  <c r="AF105" i="3"/>
  <c r="AG105" i="3"/>
  <c r="AI105" i="3"/>
  <c r="AJ105" i="3"/>
  <c r="AK105" i="3"/>
  <c r="AL105" i="3"/>
  <c r="AM105" i="3"/>
  <c r="AP105" i="3"/>
  <c r="AQ105" i="3"/>
  <c r="AT105" i="3"/>
  <c r="AU105" i="3"/>
  <c r="B106" i="3"/>
  <c r="F106" i="3"/>
  <c r="H106" i="3" s="1"/>
  <c r="J106" i="3"/>
  <c r="N106" i="3"/>
  <c r="P106" i="3" s="1"/>
  <c r="R106" i="3"/>
  <c r="V106" i="3"/>
  <c r="X106" i="3" s="1"/>
  <c r="Z106" i="3"/>
  <c r="AD106" i="3"/>
  <c r="AL106" i="3"/>
  <c r="AN106" i="3" s="1"/>
  <c r="AP106" i="3"/>
  <c r="AU106" i="3"/>
  <c r="B107" i="3"/>
  <c r="E107" i="3"/>
  <c r="F107" i="3"/>
  <c r="H107" i="3"/>
  <c r="I107" i="3"/>
  <c r="J107" i="3"/>
  <c r="L107" i="3"/>
  <c r="M107" i="3"/>
  <c r="N107" i="3"/>
  <c r="P107" i="3"/>
  <c r="Q107" i="3"/>
  <c r="R107" i="3"/>
  <c r="T107" i="3" s="1"/>
  <c r="U107" i="3"/>
  <c r="V107" i="3"/>
  <c r="X107" i="3"/>
  <c r="Y107" i="3"/>
  <c r="Z107" i="3"/>
  <c r="AB107" i="3"/>
  <c r="AC107" i="3"/>
  <c r="AD107" i="3"/>
  <c r="AF107" i="3"/>
  <c r="AG107" i="3"/>
  <c r="AH107" i="3"/>
  <c r="AJ107" i="3" s="1"/>
  <c r="AK107" i="3"/>
  <c r="AN107" i="3"/>
  <c r="AO107" i="3"/>
  <c r="AR107" i="3"/>
  <c r="AS107" i="3"/>
  <c r="AV107" i="3"/>
  <c r="AW107" i="3"/>
  <c r="BA107" i="3"/>
  <c r="D108" i="3"/>
  <c r="E108" i="3"/>
  <c r="H108" i="3"/>
  <c r="I108" i="3"/>
  <c r="L108" i="3"/>
  <c r="M108" i="3"/>
  <c r="P108" i="3"/>
  <c r="Q108" i="3"/>
  <c r="T108" i="3"/>
  <c r="U108" i="3"/>
  <c r="X108" i="3"/>
  <c r="Y108" i="3"/>
  <c r="AB108" i="3"/>
  <c r="AC108" i="3"/>
  <c r="AF108" i="3"/>
  <c r="AG108" i="3"/>
  <c r="AJ108" i="3"/>
  <c r="AK108" i="3"/>
  <c r="AL108" i="3"/>
  <c r="AX108" i="3" s="1"/>
  <c r="AN108" i="3"/>
  <c r="AO108" i="3"/>
  <c r="AR108" i="3"/>
  <c r="AS108" i="3"/>
  <c r="AV108" i="3"/>
  <c r="AW108" i="3"/>
  <c r="BA108" i="3"/>
  <c r="AZ108" i="3"/>
  <c r="D109" i="3"/>
  <c r="E109" i="3"/>
  <c r="H109" i="3"/>
  <c r="I109" i="3"/>
  <c r="L109" i="3"/>
  <c r="M109" i="3"/>
  <c r="P109" i="3"/>
  <c r="Q109" i="3"/>
  <c r="T109" i="3"/>
  <c r="U109" i="3"/>
  <c r="X109" i="3"/>
  <c r="Y109" i="3"/>
  <c r="AB109" i="3"/>
  <c r="AC109" i="3"/>
  <c r="AF109" i="3"/>
  <c r="AG109" i="3"/>
  <c r="AJ109" i="3"/>
  <c r="AK109" i="3"/>
  <c r="AN109" i="3"/>
  <c r="AO109" i="3"/>
  <c r="AP109" i="3"/>
  <c r="AR109" i="3"/>
  <c r="AS109" i="3"/>
  <c r="AV109" i="3"/>
  <c r="AW109" i="3"/>
  <c r="AX109" i="3"/>
  <c r="AZ109" i="3" s="1"/>
  <c r="BA109" i="3"/>
  <c r="D110" i="3"/>
  <c r="E110" i="3"/>
  <c r="H110" i="3"/>
  <c r="I110" i="3"/>
  <c r="L110" i="3"/>
  <c r="M110" i="3"/>
  <c r="P110" i="3"/>
  <c r="Q110" i="3"/>
  <c r="T110" i="3"/>
  <c r="U110" i="3"/>
  <c r="X110" i="3"/>
  <c r="Y110" i="3"/>
  <c r="Z110" i="3"/>
  <c r="AB110" i="3"/>
  <c r="AC110" i="3"/>
  <c r="AF110" i="3"/>
  <c r="AG110" i="3"/>
  <c r="AH110" i="3"/>
  <c r="AJ110" i="3" s="1"/>
  <c r="AK110" i="3"/>
  <c r="AN110" i="3"/>
  <c r="AO110" i="3"/>
  <c r="AR110" i="3"/>
  <c r="AS110" i="3"/>
  <c r="AV110" i="3"/>
  <c r="AW110" i="3"/>
  <c r="BA110" i="3"/>
  <c r="B111" i="3"/>
  <c r="D111" i="3"/>
  <c r="E111" i="3"/>
  <c r="F111" i="3"/>
  <c r="I111" i="3"/>
  <c r="J111" i="3"/>
  <c r="L111" i="3"/>
  <c r="M111" i="3"/>
  <c r="N111" i="3"/>
  <c r="P111" i="3"/>
  <c r="Q111" i="3"/>
  <c r="T111" i="3"/>
  <c r="U111" i="3"/>
  <c r="V111" i="3"/>
  <c r="X111" i="3"/>
  <c r="Y111" i="3"/>
  <c r="Z111" i="3"/>
  <c r="AB111" i="3"/>
  <c r="AC111" i="3"/>
  <c r="AD111" i="3"/>
  <c r="AF111" i="3"/>
  <c r="AG111" i="3"/>
  <c r="AH111" i="3"/>
  <c r="AJ111" i="3" s="1"/>
  <c r="AK111" i="3"/>
  <c r="AL111" i="3"/>
  <c r="AN111" i="3"/>
  <c r="AO111" i="3"/>
  <c r="AP111" i="3"/>
  <c r="AR111" i="3"/>
  <c r="AS111" i="3"/>
  <c r="AV111" i="3"/>
  <c r="AW111" i="3"/>
  <c r="BA111" i="3"/>
  <c r="D112" i="3"/>
  <c r="E112" i="3"/>
  <c r="H112" i="3"/>
  <c r="I112" i="3"/>
  <c r="J112" i="3"/>
  <c r="L112" i="3"/>
  <c r="M112" i="3"/>
  <c r="P112" i="3"/>
  <c r="Q112" i="3"/>
  <c r="T112" i="3"/>
  <c r="U112" i="3"/>
  <c r="X112" i="3"/>
  <c r="Y112" i="3"/>
  <c r="Z112" i="3"/>
  <c r="AB112" i="3" s="1"/>
  <c r="AC112" i="3"/>
  <c r="AF112" i="3"/>
  <c r="AG112" i="3"/>
  <c r="AH112" i="3"/>
  <c r="AJ112" i="3"/>
  <c r="AK112" i="3"/>
  <c r="AL112" i="3"/>
  <c r="AN112" i="3" s="1"/>
  <c r="AO112" i="3"/>
  <c r="AP112" i="3"/>
  <c r="AR112" i="3"/>
  <c r="AS112" i="3"/>
  <c r="AV112" i="3"/>
  <c r="AW112" i="3"/>
  <c r="BA112" i="3"/>
  <c r="B113" i="3"/>
  <c r="D113" i="3" s="1"/>
  <c r="C113" i="3"/>
  <c r="E113" i="3"/>
  <c r="G113" i="3"/>
  <c r="I113" i="3"/>
  <c r="J113" i="3"/>
  <c r="L113" i="3" s="1"/>
  <c r="K113" i="3"/>
  <c r="M113" i="3"/>
  <c r="N113" i="3"/>
  <c r="P113" i="3" s="1"/>
  <c r="O113" i="3"/>
  <c r="Q113" i="3"/>
  <c r="R113" i="3"/>
  <c r="S113" i="3"/>
  <c r="U113" i="3"/>
  <c r="V113" i="3"/>
  <c r="X113" i="3" s="1"/>
  <c r="W113" i="3"/>
  <c r="Y113" i="3"/>
  <c r="AA113" i="3"/>
  <c r="AC113" i="3"/>
  <c r="AD113" i="3"/>
  <c r="AF113" i="3" s="1"/>
  <c r="AE113" i="3"/>
  <c r="AG113" i="3"/>
  <c r="AH113" i="3"/>
  <c r="AJ113" i="3" s="1"/>
  <c r="AI113" i="3"/>
  <c r="AK113" i="3"/>
  <c r="AL113" i="3"/>
  <c r="AN113" i="3" s="1"/>
  <c r="AM113" i="3"/>
  <c r="AO113" i="3"/>
  <c r="AP113" i="3"/>
  <c r="AR113" i="3" s="1"/>
  <c r="AQ113" i="3"/>
  <c r="AS113" i="3"/>
  <c r="AT113" i="3"/>
  <c r="AV113" i="3" s="1"/>
  <c r="AU113" i="3"/>
  <c r="AW113" i="3"/>
  <c r="BA113" i="3"/>
  <c r="D114" i="3"/>
  <c r="E114" i="3"/>
  <c r="H114" i="3"/>
  <c r="I114" i="3"/>
  <c r="L114" i="3"/>
  <c r="M114" i="3"/>
  <c r="P114" i="3"/>
  <c r="Q114" i="3"/>
  <c r="T114" i="3"/>
  <c r="U114" i="3"/>
  <c r="X114" i="3"/>
  <c r="Y114" i="3"/>
  <c r="AB114" i="3"/>
  <c r="AC114" i="3"/>
  <c r="AF114" i="3"/>
  <c r="AG114" i="3"/>
  <c r="AJ114" i="3"/>
  <c r="AK114" i="3"/>
  <c r="AN114" i="3"/>
  <c r="AO114" i="3"/>
  <c r="AR114" i="3"/>
  <c r="AS114" i="3"/>
  <c r="AV114" i="3"/>
  <c r="AW114" i="3"/>
  <c r="AX114" i="3"/>
  <c r="AZ114" i="3" s="1"/>
  <c r="BA114" i="3"/>
  <c r="C115" i="3"/>
  <c r="G115" i="3"/>
  <c r="I115" i="3" s="1"/>
  <c r="H115" i="3"/>
  <c r="K115" i="3"/>
  <c r="L115" i="3"/>
  <c r="M115" i="3"/>
  <c r="O115" i="3"/>
  <c r="P115" i="3"/>
  <c r="Q115" i="3"/>
  <c r="S115" i="3"/>
  <c r="W115" i="3"/>
  <c r="Y115" i="3" s="1"/>
  <c r="X115" i="3"/>
  <c r="AA115" i="3"/>
  <c r="AB115" i="3"/>
  <c r="AC115" i="3"/>
  <c r="AD115" i="3"/>
  <c r="AE115" i="3"/>
  <c r="AF115" i="3"/>
  <c r="AG115" i="3"/>
  <c r="AI115" i="3"/>
  <c r="AJ115" i="3"/>
  <c r="AK115" i="3"/>
  <c r="AM115" i="3"/>
  <c r="AQ115" i="3"/>
  <c r="AS115" i="3" s="1"/>
  <c r="AR115" i="3"/>
  <c r="AU115" i="3"/>
  <c r="AV115" i="3"/>
  <c r="AW115" i="3"/>
  <c r="AX115" i="3"/>
  <c r="D116" i="3"/>
  <c r="E116" i="3"/>
  <c r="F116" i="3"/>
  <c r="H116" i="3"/>
  <c r="I116" i="3"/>
  <c r="J116" i="3"/>
  <c r="J117" i="3" s="1"/>
  <c r="L117" i="3" s="1"/>
  <c r="L116" i="3"/>
  <c r="M116" i="3"/>
  <c r="P116" i="3"/>
  <c r="Q116" i="3"/>
  <c r="R116" i="3"/>
  <c r="R117" i="3" s="1"/>
  <c r="T116" i="3"/>
  <c r="U116" i="3"/>
  <c r="X116" i="3"/>
  <c r="Y116" i="3"/>
  <c r="AB116" i="3"/>
  <c r="AC116" i="3"/>
  <c r="AF116" i="3"/>
  <c r="AG116" i="3"/>
  <c r="AJ116" i="3"/>
  <c r="AK116" i="3"/>
  <c r="AN116" i="3"/>
  <c r="AO116" i="3"/>
  <c r="AP116" i="3"/>
  <c r="AS116" i="3"/>
  <c r="AV116" i="3"/>
  <c r="AW116" i="3"/>
  <c r="BA116" i="3"/>
  <c r="B117" i="3"/>
  <c r="K117" i="3"/>
  <c r="M117" i="3"/>
  <c r="N117" i="3"/>
  <c r="O117" i="3"/>
  <c r="P117" i="3"/>
  <c r="Q117" i="3"/>
  <c r="V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T117" i="3"/>
  <c r="AU117" i="3"/>
  <c r="AV117" i="3"/>
  <c r="AW117" i="3"/>
  <c r="D118" i="3"/>
  <c r="E118" i="3"/>
  <c r="H118" i="3"/>
  <c r="I118" i="3"/>
  <c r="L118" i="3"/>
  <c r="M118" i="3"/>
  <c r="P118" i="3"/>
  <c r="Q118" i="3"/>
  <c r="T118" i="3"/>
  <c r="U118" i="3"/>
  <c r="X118" i="3"/>
  <c r="Y118" i="3"/>
  <c r="AB118" i="3"/>
  <c r="AC118" i="3"/>
  <c r="AF118" i="3"/>
  <c r="AG118" i="3"/>
  <c r="AJ118" i="3"/>
  <c r="AK118" i="3"/>
  <c r="AN118" i="3"/>
  <c r="AO118" i="3"/>
  <c r="AP118" i="3"/>
  <c r="AR118" i="3"/>
  <c r="AS118" i="3"/>
  <c r="AV118" i="3"/>
  <c r="AW118" i="3"/>
  <c r="AX118" i="3"/>
  <c r="BA118" i="3"/>
  <c r="AZ118" i="3"/>
  <c r="B119" i="3"/>
  <c r="D119" i="3"/>
  <c r="E119" i="3"/>
  <c r="H119" i="3"/>
  <c r="I119" i="3"/>
  <c r="J119" i="3"/>
  <c r="L119" i="3"/>
  <c r="M119" i="3"/>
  <c r="N119" i="3"/>
  <c r="P119" i="3"/>
  <c r="Q119" i="3"/>
  <c r="T119" i="3"/>
  <c r="U119" i="3"/>
  <c r="V119" i="3"/>
  <c r="X119" i="3"/>
  <c r="Y119" i="3"/>
  <c r="Z119" i="3"/>
  <c r="AB119" i="3"/>
  <c r="AC119" i="3"/>
  <c r="AD119" i="3"/>
  <c r="AF119" i="3"/>
  <c r="AG119" i="3"/>
  <c r="AH119" i="3"/>
  <c r="AJ119" i="3" s="1"/>
  <c r="AK119" i="3"/>
  <c r="AL119" i="3"/>
  <c r="AN119" i="3"/>
  <c r="AO119" i="3"/>
  <c r="AP119" i="3"/>
  <c r="AR119" i="3"/>
  <c r="AS119" i="3"/>
  <c r="AT119" i="3"/>
  <c r="AV119" i="3"/>
  <c r="AW119" i="3"/>
  <c r="BA119" i="3"/>
  <c r="D120" i="3"/>
  <c r="E120" i="3"/>
  <c r="H120" i="3"/>
  <c r="I120" i="3"/>
  <c r="L120" i="3"/>
  <c r="M120" i="3"/>
  <c r="P120" i="3"/>
  <c r="Q120" i="3"/>
  <c r="T120" i="3"/>
  <c r="U120" i="3"/>
  <c r="X120" i="3"/>
  <c r="Y120" i="3"/>
  <c r="AB120" i="3"/>
  <c r="AC120" i="3"/>
  <c r="AF120" i="3"/>
  <c r="AG120" i="3"/>
  <c r="AJ120" i="3"/>
  <c r="AK120" i="3"/>
  <c r="AL120" i="3"/>
  <c r="AN120" i="3"/>
  <c r="AO120" i="3"/>
  <c r="AP120" i="3"/>
  <c r="AR120" i="3"/>
  <c r="AS120" i="3"/>
  <c r="AV120" i="3"/>
  <c r="AW120" i="3"/>
  <c r="AX120" i="3"/>
  <c r="BA120" i="3"/>
  <c r="AZ120" i="3"/>
  <c r="D121" i="3"/>
  <c r="E121" i="3"/>
  <c r="F121" i="3"/>
  <c r="I121" i="3"/>
  <c r="L121" i="3"/>
  <c r="M121" i="3"/>
  <c r="P121" i="3"/>
  <c r="Q121" i="3"/>
  <c r="T121" i="3"/>
  <c r="U121" i="3"/>
  <c r="X121" i="3"/>
  <c r="Y121" i="3"/>
  <c r="AB121" i="3"/>
  <c r="AC121" i="3"/>
  <c r="AF121" i="3"/>
  <c r="AG121" i="3"/>
  <c r="AH121" i="3"/>
  <c r="AJ121" i="3"/>
  <c r="AK121" i="3"/>
  <c r="AN121" i="3"/>
  <c r="AO121" i="3"/>
  <c r="AR121" i="3"/>
  <c r="AS121" i="3"/>
  <c r="AV121" i="3"/>
  <c r="AW121" i="3"/>
  <c r="BA121" i="3"/>
  <c r="D122" i="3"/>
  <c r="E122" i="3"/>
  <c r="F122" i="3"/>
  <c r="H122" i="3"/>
  <c r="I122" i="3"/>
  <c r="L122" i="3"/>
  <c r="M122" i="3"/>
  <c r="P122" i="3"/>
  <c r="Q122" i="3"/>
  <c r="T122" i="3"/>
  <c r="U122" i="3"/>
  <c r="X122" i="3"/>
  <c r="Y122" i="3"/>
  <c r="AB122" i="3"/>
  <c r="AC122" i="3"/>
  <c r="AD122" i="3"/>
  <c r="AF122" i="3"/>
  <c r="AG122" i="3"/>
  <c r="AJ122" i="3"/>
  <c r="AK122" i="3"/>
  <c r="AN122" i="3"/>
  <c r="AO122" i="3"/>
  <c r="AP122" i="3"/>
  <c r="AR122" i="3"/>
  <c r="AS122" i="3"/>
  <c r="AV122" i="3"/>
  <c r="AW122" i="3"/>
  <c r="AX122" i="3"/>
  <c r="AZ122" i="3" s="1"/>
  <c r="BA122" i="3"/>
  <c r="B123" i="3"/>
  <c r="D123" i="3"/>
  <c r="E123" i="3"/>
  <c r="F123" i="3"/>
  <c r="H123" i="3"/>
  <c r="I123" i="3"/>
  <c r="J123" i="3"/>
  <c r="L123" i="3"/>
  <c r="M123" i="3"/>
  <c r="P123" i="3"/>
  <c r="Q123" i="3"/>
  <c r="R123" i="3"/>
  <c r="T123" i="3"/>
  <c r="U123" i="3"/>
  <c r="V123" i="3"/>
  <c r="X123" i="3"/>
  <c r="Y123" i="3"/>
  <c r="AB123" i="3"/>
  <c r="AC123" i="3"/>
  <c r="AD123" i="3"/>
  <c r="AF123" i="3"/>
  <c r="AG123" i="3"/>
  <c r="AH123" i="3"/>
  <c r="AJ123" i="3"/>
  <c r="AK123" i="3"/>
  <c r="AL123" i="3"/>
  <c r="AO123" i="3"/>
  <c r="AP123" i="3"/>
  <c r="AR123" i="3"/>
  <c r="AS123" i="3"/>
  <c r="AT123" i="3"/>
  <c r="AV123" i="3"/>
  <c r="AW123" i="3"/>
  <c r="BA123" i="3"/>
  <c r="B124" i="3"/>
  <c r="D124" i="3"/>
  <c r="E124" i="3"/>
  <c r="H124" i="3"/>
  <c r="I124" i="3"/>
  <c r="J124" i="3"/>
  <c r="L124" i="3"/>
  <c r="M124" i="3"/>
  <c r="N124" i="3"/>
  <c r="P124" i="3"/>
  <c r="Q124" i="3"/>
  <c r="R124" i="3"/>
  <c r="U124" i="3"/>
  <c r="V124" i="3"/>
  <c r="X124" i="3"/>
  <c r="Y124" i="3"/>
  <c r="Z124" i="3"/>
  <c r="AB124" i="3"/>
  <c r="AC124" i="3"/>
  <c r="AF124" i="3"/>
  <c r="AG124" i="3"/>
  <c r="AH124" i="3"/>
  <c r="AJ124" i="3"/>
  <c r="AK124" i="3"/>
  <c r="AL124" i="3"/>
  <c r="AN124" i="3"/>
  <c r="AO124" i="3"/>
  <c r="AP124" i="3"/>
  <c r="AR124" i="3"/>
  <c r="AS124" i="3"/>
  <c r="AV124" i="3"/>
  <c r="AW124" i="3"/>
  <c r="BA124" i="3"/>
  <c r="B125" i="3"/>
  <c r="D125" i="3"/>
  <c r="E125" i="3"/>
  <c r="F125" i="3"/>
  <c r="H125" i="3"/>
  <c r="I125" i="3"/>
  <c r="J125" i="3"/>
  <c r="L125" i="3" s="1"/>
  <c r="M125" i="3"/>
  <c r="N125" i="3"/>
  <c r="P125" i="3"/>
  <c r="Q125" i="3"/>
  <c r="R125" i="3"/>
  <c r="T125" i="3"/>
  <c r="U125" i="3"/>
  <c r="V125" i="3"/>
  <c r="X125" i="3"/>
  <c r="Y125" i="3"/>
  <c r="Z125" i="3"/>
  <c r="AB125" i="3" s="1"/>
  <c r="AC125" i="3"/>
  <c r="AD125" i="3"/>
  <c r="AF125" i="3"/>
  <c r="AG125" i="3"/>
  <c r="AH125" i="3"/>
  <c r="AJ125" i="3"/>
  <c r="AK125" i="3"/>
  <c r="AL125" i="3"/>
  <c r="AN125" i="3"/>
  <c r="AO125" i="3"/>
  <c r="AP125" i="3"/>
  <c r="AS125" i="3"/>
  <c r="AV125" i="3"/>
  <c r="AW125" i="3"/>
  <c r="BA125" i="3"/>
  <c r="D126" i="3"/>
  <c r="E126" i="3"/>
  <c r="H126" i="3"/>
  <c r="I126" i="3"/>
  <c r="L126" i="3"/>
  <c r="M126" i="3"/>
  <c r="P126" i="3"/>
  <c r="Q126" i="3"/>
  <c r="T126" i="3"/>
  <c r="U126" i="3"/>
  <c r="X126" i="3"/>
  <c r="Y126" i="3"/>
  <c r="AB126" i="3"/>
  <c r="AC126" i="3"/>
  <c r="AD126" i="3"/>
  <c r="AX126" i="3" s="1"/>
  <c r="AF126" i="3"/>
  <c r="AG126" i="3"/>
  <c r="AJ126" i="3"/>
  <c r="AK126" i="3"/>
  <c r="AN126" i="3"/>
  <c r="AO126" i="3"/>
  <c r="AR126" i="3"/>
  <c r="AS126" i="3"/>
  <c r="AV126" i="3"/>
  <c r="AW126" i="3"/>
  <c r="BA126" i="3"/>
  <c r="AZ126" i="3"/>
  <c r="B127" i="3"/>
  <c r="C127" i="3"/>
  <c r="E127" i="3" s="1"/>
  <c r="D127" i="3"/>
  <c r="F127" i="3"/>
  <c r="G127" i="3"/>
  <c r="I127" i="3" s="1"/>
  <c r="H127" i="3"/>
  <c r="J127" i="3"/>
  <c r="K127" i="3"/>
  <c r="M127" i="3" s="1"/>
  <c r="L127" i="3"/>
  <c r="N127" i="3"/>
  <c r="O127" i="3"/>
  <c r="Q127" i="3" s="1"/>
  <c r="P127" i="3"/>
  <c r="R127" i="3"/>
  <c r="S127" i="3"/>
  <c r="U127" i="3" s="1"/>
  <c r="T127" i="3"/>
  <c r="W127" i="3"/>
  <c r="W129" i="3" s="1"/>
  <c r="Y129" i="3" s="1"/>
  <c r="X127" i="3"/>
  <c r="Y127" i="3"/>
  <c r="Z127" i="3"/>
  <c r="AA127" i="3"/>
  <c r="AA129" i="3" s="1"/>
  <c r="AB127" i="3"/>
  <c r="AC127" i="3"/>
  <c r="AE127" i="3"/>
  <c r="AF127" i="3"/>
  <c r="AG127" i="3"/>
  <c r="AI127" i="3"/>
  <c r="AM127" i="3"/>
  <c r="AO127" i="3" s="1"/>
  <c r="AN127" i="3"/>
  <c r="AQ127" i="3"/>
  <c r="AQ129" i="3" s="1"/>
  <c r="AR127" i="3"/>
  <c r="AS127" i="3"/>
  <c r="AU127" i="3"/>
  <c r="AV127" i="3"/>
  <c r="AW127" i="3"/>
  <c r="AX127" i="3"/>
  <c r="C128" i="3"/>
  <c r="G128" i="3"/>
  <c r="I128" i="3" s="1"/>
  <c r="H128" i="3"/>
  <c r="K128" i="3"/>
  <c r="L128" i="3"/>
  <c r="M128" i="3"/>
  <c r="O128" i="3"/>
  <c r="P128" i="3"/>
  <c r="Q128" i="3"/>
  <c r="S128" i="3"/>
  <c r="W128" i="3"/>
  <c r="Y128" i="3" s="1"/>
  <c r="X128" i="3"/>
  <c r="AA128" i="3"/>
  <c r="AB128" i="3"/>
  <c r="AC128" i="3"/>
  <c r="AE128" i="3"/>
  <c r="AF128" i="3"/>
  <c r="AG128" i="3"/>
  <c r="AI128" i="3"/>
  <c r="AM128" i="3"/>
  <c r="AO128" i="3" s="1"/>
  <c r="AN128" i="3"/>
  <c r="AQ128" i="3"/>
  <c r="AR128" i="3"/>
  <c r="AS128" i="3"/>
  <c r="AU128" i="3"/>
  <c r="AV128" i="3"/>
  <c r="AW128" i="3"/>
  <c r="AX128" i="3"/>
  <c r="B129" i="3"/>
  <c r="F129" i="3"/>
  <c r="J129" i="3"/>
  <c r="N129" i="3"/>
  <c r="R129" i="3"/>
  <c r="V129" i="3"/>
  <c r="AD129" i="3"/>
  <c r="AE129" i="3"/>
  <c r="AH129" i="3"/>
  <c r="AT129" i="3"/>
  <c r="AU129" i="3"/>
  <c r="V130" i="3"/>
  <c r="D131" i="3"/>
  <c r="E131" i="3"/>
  <c r="H131" i="3"/>
  <c r="I131" i="3"/>
  <c r="L131" i="3"/>
  <c r="M131" i="3"/>
  <c r="P131" i="3"/>
  <c r="Q131" i="3"/>
  <c r="T131" i="3"/>
  <c r="U131" i="3"/>
  <c r="X131" i="3"/>
  <c r="Y131" i="3"/>
  <c r="AB131" i="3"/>
  <c r="AC131" i="3"/>
  <c r="AF131" i="3"/>
  <c r="AG131" i="3"/>
  <c r="AJ131" i="3"/>
  <c r="AK131" i="3"/>
  <c r="AN131" i="3"/>
  <c r="AO131" i="3"/>
  <c r="AR131" i="3"/>
  <c r="AS131" i="3"/>
  <c r="AV131" i="3"/>
  <c r="AW131" i="3"/>
  <c r="AX131" i="3"/>
  <c r="AZ131" i="3" s="1"/>
  <c r="BA131" i="3"/>
  <c r="B132" i="3"/>
  <c r="C132" i="3"/>
  <c r="F132" i="3"/>
  <c r="G132" i="3"/>
  <c r="J132" i="3"/>
  <c r="K132" i="3"/>
  <c r="N132" i="3"/>
  <c r="O132" i="3"/>
  <c r="R132" i="3"/>
  <c r="S132" i="3"/>
  <c r="V132" i="3"/>
  <c r="W132" i="3"/>
  <c r="Z132" i="3"/>
  <c r="AA132" i="3"/>
  <c r="AD132" i="3"/>
  <c r="AE132" i="3"/>
  <c r="AH132" i="3"/>
  <c r="AI132" i="3"/>
  <c r="AL132" i="3"/>
  <c r="AM132" i="3"/>
  <c r="AQ132" i="3"/>
  <c r="AU132" i="3"/>
  <c r="AW132" i="3" s="1"/>
  <c r="AV132" i="3"/>
  <c r="D133" i="3"/>
  <c r="E133" i="3"/>
  <c r="H133" i="3"/>
  <c r="I133" i="3"/>
  <c r="L133" i="3"/>
  <c r="M133" i="3"/>
  <c r="P133" i="3"/>
  <c r="Q133" i="3"/>
  <c r="T133" i="3"/>
  <c r="U133" i="3"/>
  <c r="X133" i="3"/>
  <c r="Y133" i="3"/>
  <c r="AB133" i="3"/>
  <c r="AC133" i="3"/>
  <c r="AF133" i="3"/>
  <c r="AG133" i="3"/>
  <c r="AJ133" i="3"/>
  <c r="AK133" i="3"/>
  <c r="AL133" i="3"/>
  <c r="AO133" i="3"/>
  <c r="AR133" i="3"/>
  <c r="AS133" i="3"/>
  <c r="AV133" i="3"/>
  <c r="AW133" i="3"/>
  <c r="BA133" i="3"/>
  <c r="C134" i="3"/>
  <c r="E134" i="3" s="1"/>
  <c r="D134" i="3"/>
  <c r="G134" i="3"/>
  <c r="H134" i="3"/>
  <c r="I134" i="3"/>
  <c r="J134" i="3"/>
  <c r="K134" i="3"/>
  <c r="L134" i="3"/>
  <c r="M134" i="3"/>
  <c r="N134" i="3"/>
  <c r="O134" i="3"/>
  <c r="P134" i="3"/>
  <c r="Q134" i="3"/>
  <c r="S134" i="3"/>
  <c r="T134" i="3"/>
  <c r="U134" i="3"/>
  <c r="V134" i="3"/>
  <c r="W134" i="3"/>
  <c r="Y134" i="3"/>
  <c r="Z134" i="3"/>
  <c r="AA134" i="3"/>
  <c r="AC134" i="3"/>
  <c r="AE134" i="3"/>
  <c r="AI134" i="3"/>
  <c r="AK134" i="3" s="1"/>
  <c r="AJ134" i="3"/>
  <c r="AL134" i="3"/>
  <c r="AM134" i="3"/>
  <c r="AO134" i="3" s="1"/>
  <c r="AN134" i="3"/>
  <c r="AP134" i="3"/>
  <c r="AQ134" i="3"/>
  <c r="AS134" i="3" s="1"/>
  <c r="AR134" i="3"/>
  <c r="AU134" i="3"/>
  <c r="AV134" i="3"/>
  <c r="AW134" i="3"/>
  <c r="C135" i="3"/>
  <c r="D135" i="3"/>
  <c r="E135" i="3"/>
  <c r="F135" i="3"/>
  <c r="G135" i="3"/>
  <c r="J135" i="3"/>
  <c r="K135" i="3"/>
  <c r="O135" i="3"/>
  <c r="R135" i="3"/>
  <c r="S135" i="3"/>
  <c r="V135" i="3"/>
  <c r="X135" i="3" s="1"/>
  <c r="W135" i="3"/>
  <c r="Y135" i="3" s="1"/>
  <c r="AA135" i="3"/>
  <c r="AC135" i="3" s="1"/>
  <c r="AB135" i="3"/>
  <c r="AD135" i="3"/>
  <c r="AE135" i="3"/>
  <c r="AG135" i="3" s="1"/>
  <c r="AF135" i="3"/>
  <c r="AH135" i="3"/>
  <c r="AI135" i="3"/>
  <c r="AK135" i="3" s="1"/>
  <c r="AJ135" i="3"/>
  <c r="AL135" i="3"/>
  <c r="AM135" i="3"/>
  <c r="AO135" i="3" s="1"/>
  <c r="AN135" i="3"/>
  <c r="AQ135" i="3"/>
  <c r="AR135" i="3"/>
  <c r="AS135" i="3"/>
  <c r="AU135" i="3"/>
  <c r="AV135" i="3"/>
  <c r="AW135" i="3"/>
  <c r="AX135" i="3"/>
  <c r="D136" i="3"/>
  <c r="E136" i="3"/>
  <c r="H136" i="3"/>
  <c r="I136" i="3"/>
  <c r="L136" i="3"/>
  <c r="M136" i="3"/>
  <c r="P136" i="3"/>
  <c r="Q136" i="3"/>
  <c r="T136" i="3"/>
  <c r="U136" i="3"/>
  <c r="X136" i="3"/>
  <c r="Y136" i="3"/>
  <c r="AB136" i="3"/>
  <c r="AC136" i="3"/>
  <c r="AD136" i="3"/>
  <c r="AX136" i="3" s="1"/>
  <c r="AZ136" i="3" s="1"/>
  <c r="AF136" i="3"/>
  <c r="AG136" i="3"/>
  <c r="AJ136" i="3"/>
  <c r="AK136" i="3"/>
  <c r="AN136" i="3"/>
  <c r="AO136" i="3"/>
  <c r="AR136" i="3"/>
  <c r="AS136" i="3"/>
  <c r="AV136" i="3"/>
  <c r="AW136" i="3"/>
  <c r="BA136" i="3"/>
  <c r="C137" i="3"/>
  <c r="D137" i="3"/>
  <c r="E137" i="3"/>
  <c r="G137" i="3"/>
  <c r="K137" i="3"/>
  <c r="M137" i="3" s="1"/>
  <c r="L137" i="3"/>
  <c r="N137" i="3"/>
  <c r="O137" i="3"/>
  <c r="Q137" i="3" s="1"/>
  <c r="P137" i="3"/>
  <c r="S137" i="3"/>
  <c r="T137" i="3"/>
  <c r="U137" i="3"/>
  <c r="W137" i="3"/>
  <c r="X137" i="3"/>
  <c r="Y137" i="3"/>
  <c r="AA137" i="3"/>
  <c r="AE137" i="3"/>
  <c r="AG137" i="3" s="1"/>
  <c r="AF137" i="3"/>
  <c r="AI137" i="3"/>
  <c r="AJ137" i="3"/>
  <c r="AK137" i="3"/>
  <c r="AM137" i="3"/>
  <c r="AN137" i="3"/>
  <c r="AO137" i="3"/>
  <c r="AP137" i="3"/>
  <c r="AQ137" i="3"/>
  <c r="AU137" i="3"/>
  <c r="C138" i="3"/>
  <c r="E138" i="3" s="1"/>
  <c r="D138" i="3"/>
  <c r="G138" i="3"/>
  <c r="H138" i="3"/>
  <c r="I138" i="3"/>
  <c r="K138" i="3"/>
  <c r="L138" i="3"/>
  <c r="M138" i="3"/>
  <c r="O138" i="3"/>
  <c r="R138" i="3"/>
  <c r="T138" i="3" s="1"/>
  <c r="S138" i="3"/>
  <c r="U138" i="3" s="1"/>
  <c r="W138" i="3"/>
  <c r="Y138" i="3" s="1"/>
  <c r="X138" i="3"/>
  <c r="AA138" i="3"/>
  <c r="AB138" i="3"/>
  <c r="AC138" i="3"/>
  <c r="AD138" i="3"/>
  <c r="AE138" i="3"/>
  <c r="AF138" i="3"/>
  <c r="AG138" i="3"/>
  <c r="AH138" i="3"/>
  <c r="AI138" i="3"/>
  <c r="AJ138" i="3"/>
  <c r="AK138" i="3"/>
  <c r="AM138" i="3"/>
  <c r="AN138" i="3"/>
  <c r="AO138" i="3"/>
  <c r="AQ138" i="3"/>
  <c r="AU138" i="3"/>
  <c r="AW138" i="3" s="1"/>
  <c r="AV138" i="3"/>
  <c r="C139" i="3"/>
  <c r="D139" i="3"/>
  <c r="E139" i="3"/>
  <c r="G139" i="3"/>
  <c r="H139" i="3"/>
  <c r="I139" i="3"/>
  <c r="K139" i="3"/>
  <c r="K140" i="3" s="1"/>
  <c r="O139" i="3"/>
  <c r="Q139" i="3" s="1"/>
  <c r="P139" i="3"/>
  <c r="S139" i="3"/>
  <c r="T139" i="3"/>
  <c r="U139" i="3"/>
  <c r="W139" i="3"/>
  <c r="X139" i="3"/>
  <c r="Y139" i="3"/>
  <c r="AA139" i="3"/>
  <c r="AE139" i="3"/>
  <c r="AG139" i="3" s="1"/>
  <c r="AF139" i="3"/>
  <c r="AI139" i="3"/>
  <c r="AJ139" i="3"/>
  <c r="AK139" i="3"/>
  <c r="AM139" i="3"/>
  <c r="AN139" i="3"/>
  <c r="AO139" i="3"/>
  <c r="AQ139" i="3"/>
  <c r="AU139" i="3"/>
  <c r="AX139" i="3"/>
  <c r="B140" i="3"/>
  <c r="C140" i="3"/>
  <c r="E140" i="3" s="1"/>
  <c r="D140" i="3"/>
  <c r="G140" i="3"/>
  <c r="N140" i="3"/>
  <c r="W140" i="3"/>
  <c r="AA140" i="3"/>
  <c r="AD140" i="3"/>
  <c r="AH140" i="3"/>
  <c r="AI140" i="3"/>
  <c r="AK140" i="3" s="1"/>
  <c r="AL140" i="3"/>
  <c r="AM140" i="3"/>
  <c r="AT140" i="3"/>
  <c r="D141" i="3"/>
  <c r="E141" i="3"/>
  <c r="H141" i="3"/>
  <c r="I141" i="3"/>
  <c r="J141" i="3"/>
  <c r="L141" i="3"/>
  <c r="M141" i="3"/>
  <c r="N141" i="3"/>
  <c r="P141" i="3"/>
  <c r="Q141" i="3"/>
  <c r="T141" i="3"/>
  <c r="U141" i="3"/>
  <c r="X141" i="3"/>
  <c r="Y141" i="3"/>
  <c r="Z141" i="3"/>
  <c r="AB141" i="3" s="1"/>
  <c r="AC141" i="3"/>
  <c r="AD141" i="3"/>
  <c r="AF141" i="3" s="1"/>
  <c r="AG141" i="3"/>
  <c r="AH141" i="3"/>
  <c r="AJ141" i="3"/>
  <c r="AK141" i="3"/>
  <c r="AL141" i="3"/>
  <c r="AN141" i="3"/>
  <c r="AO141" i="3"/>
  <c r="AR141" i="3"/>
  <c r="AS141" i="3"/>
  <c r="AV141" i="3"/>
  <c r="AW141" i="3"/>
  <c r="BA141" i="3"/>
  <c r="D142" i="3"/>
  <c r="E142" i="3"/>
  <c r="H142" i="3"/>
  <c r="I142" i="3"/>
  <c r="L142" i="3"/>
  <c r="M142" i="3"/>
  <c r="P142" i="3"/>
  <c r="Q142" i="3"/>
  <c r="T142" i="3"/>
  <c r="U142" i="3"/>
  <c r="X142" i="3"/>
  <c r="Y142" i="3"/>
  <c r="AB142" i="3"/>
  <c r="AC142" i="3"/>
  <c r="AF142" i="3"/>
  <c r="AG142" i="3"/>
  <c r="AJ142" i="3"/>
  <c r="AK142" i="3"/>
  <c r="AN142" i="3"/>
  <c r="AO142" i="3"/>
  <c r="AP142" i="3"/>
  <c r="AS142" i="3"/>
  <c r="AV142" i="3"/>
  <c r="AW142" i="3"/>
  <c r="BA142" i="3"/>
  <c r="D143" i="3"/>
  <c r="E143" i="3"/>
  <c r="H143" i="3"/>
  <c r="I143" i="3"/>
  <c r="L143" i="3"/>
  <c r="M143" i="3"/>
  <c r="P143" i="3"/>
  <c r="Q143" i="3"/>
  <c r="T143" i="3"/>
  <c r="U143" i="3"/>
  <c r="X143" i="3"/>
  <c r="Y143" i="3"/>
  <c r="AB143" i="3"/>
  <c r="AC143" i="3"/>
  <c r="AD143" i="3"/>
  <c r="AX143" i="3" s="1"/>
  <c r="AF143" i="3"/>
  <c r="AG143" i="3"/>
  <c r="AJ143" i="3"/>
  <c r="AK143" i="3"/>
  <c r="AN143" i="3"/>
  <c r="AO143" i="3"/>
  <c r="AR143" i="3"/>
  <c r="AS143" i="3"/>
  <c r="AV143" i="3"/>
  <c r="AW143" i="3"/>
  <c r="BA143" i="3"/>
  <c r="D144" i="3"/>
  <c r="E144" i="3"/>
  <c r="H144" i="3"/>
  <c r="I144" i="3"/>
  <c r="L144" i="3"/>
  <c r="M144" i="3"/>
  <c r="P144" i="3"/>
  <c r="Q144" i="3"/>
  <c r="T144" i="3"/>
  <c r="U144" i="3"/>
  <c r="X144" i="3"/>
  <c r="Y144" i="3"/>
  <c r="AB144" i="3"/>
  <c r="AC144" i="3"/>
  <c r="AF144" i="3"/>
  <c r="AG144" i="3"/>
  <c r="AH144" i="3"/>
  <c r="AJ144" i="3"/>
  <c r="AK144" i="3"/>
  <c r="AN144" i="3"/>
  <c r="AO144" i="3"/>
  <c r="AR144" i="3"/>
  <c r="AS144" i="3"/>
  <c r="AV144" i="3"/>
  <c r="AW144" i="3"/>
  <c r="AX144" i="3"/>
  <c r="AZ144" i="3" s="1"/>
  <c r="BA144" i="3"/>
  <c r="C145" i="3"/>
  <c r="N145" i="3"/>
  <c r="W145" i="3"/>
  <c r="AA145" i="3"/>
  <c r="AD145" i="3"/>
  <c r="AI145" i="3"/>
  <c r="AL145" i="3"/>
  <c r="AT145" i="3"/>
  <c r="D146" i="3"/>
  <c r="E146" i="3"/>
  <c r="H146" i="3"/>
  <c r="I146" i="3"/>
  <c r="L146" i="3"/>
  <c r="M146" i="3"/>
  <c r="P146" i="3"/>
  <c r="Q146" i="3"/>
  <c r="T146" i="3"/>
  <c r="U146" i="3"/>
  <c r="X146" i="3"/>
  <c r="Y146" i="3"/>
  <c r="AB146" i="3"/>
  <c r="AC146" i="3"/>
  <c r="AF146" i="3"/>
  <c r="AG146" i="3"/>
  <c r="AJ146" i="3"/>
  <c r="AK146" i="3"/>
  <c r="AN146" i="3"/>
  <c r="AO146" i="3"/>
  <c r="AR146" i="3"/>
  <c r="AS146" i="3"/>
  <c r="AV146" i="3"/>
  <c r="AW146" i="3"/>
  <c r="AX146" i="3"/>
  <c r="AZ146" i="3" s="1"/>
  <c r="BA146" i="3"/>
  <c r="B147" i="3"/>
  <c r="D147" i="3"/>
  <c r="E147" i="3"/>
  <c r="H147" i="3"/>
  <c r="I147" i="3"/>
  <c r="L147" i="3"/>
  <c r="M147" i="3"/>
  <c r="P147" i="3"/>
  <c r="Q147" i="3"/>
  <c r="T147" i="3"/>
  <c r="U147" i="3"/>
  <c r="X147" i="3"/>
  <c r="Y147" i="3"/>
  <c r="AB147" i="3"/>
  <c r="AC147" i="3"/>
  <c r="AF147" i="3"/>
  <c r="AG147" i="3"/>
  <c r="AJ147" i="3"/>
  <c r="AK147" i="3"/>
  <c r="AN147" i="3"/>
  <c r="AO147" i="3"/>
  <c r="AR147" i="3"/>
  <c r="AS147" i="3"/>
  <c r="AV147" i="3"/>
  <c r="AW147" i="3"/>
  <c r="AX147" i="3"/>
  <c r="AZ147" i="3" s="1"/>
  <c r="BA147" i="3"/>
  <c r="D148" i="3"/>
  <c r="E148" i="3"/>
  <c r="H148" i="3"/>
  <c r="I148" i="3"/>
  <c r="L148" i="3"/>
  <c r="M148" i="3"/>
  <c r="P148" i="3"/>
  <c r="Q148" i="3"/>
  <c r="T148" i="3"/>
  <c r="U148" i="3"/>
  <c r="X148" i="3"/>
  <c r="Y148" i="3"/>
  <c r="AB148" i="3"/>
  <c r="AC148" i="3"/>
  <c r="AF148" i="3"/>
  <c r="AG148" i="3"/>
  <c r="AJ148" i="3"/>
  <c r="AK148" i="3"/>
  <c r="AN148" i="3"/>
  <c r="AO148" i="3"/>
  <c r="AR148" i="3"/>
  <c r="AS148" i="3"/>
  <c r="AT148" i="3"/>
  <c r="AX148" i="3" s="1"/>
  <c r="AZ148" i="3" s="1"/>
  <c r="AV148" i="3"/>
  <c r="AW148" i="3"/>
  <c r="BA148" i="3"/>
  <c r="D149" i="3"/>
  <c r="E149" i="3"/>
  <c r="H149" i="3"/>
  <c r="I149" i="3"/>
  <c r="L149" i="3"/>
  <c r="M149" i="3"/>
  <c r="P149" i="3"/>
  <c r="Q149" i="3"/>
  <c r="T149" i="3"/>
  <c r="U149" i="3"/>
  <c r="X149" i="3"/>
  <c r="Y149" i="3"/>
  <c r="AB149" i="3"/>
  <c r="AC149" i="3"/>
  <c r="AF149" i="3"/>
  <c r="AG149" i="3"/>
  <c r="AH149" i="3"/>
  <c r="AJ149" i="3"/>
  <c r="AK149" i="3"/>
  <c r="AN149" i="3"/>
  <c r="AO149" i="3"/>
  <c r="AR149" i="3"/>
  <c r="AS149" i="3"/>
  <c r="AV149" i="3"/>
  <c r="AW149" i="3"/>
  <c r="AX149" i="3"/>
  <c r="D150" i="3"/>
  <c r="E150" i="3"/>
  <c r="H150" i="3"/>
  <c r="I150" i="3"/>
  <c r="L150" i="3"/>
  <c r="M150" i="3"/>
  <c r="P150" i="3"/>
  <c r="Q150" i="3"/>
  <c r="T150" i="3"/>
  <c r="U150" i="3"/>
  <c r="X150" i="3"/>
  <c r="Y150" i="3"/>
  <c r="AB150" i="3"/>
  <c r="AC150" i="3"/>
  <c r="AF150" i="3"/>
  <c r="AG150" i="3"/>
  <c r="AJ150" i="3"/>
  <c r="AK150" i="3"/>
  <c r="AL150" i="3"/>
  <c r="AO150" i="3"/>
  <c r="AR150" i="3"/>
  <c r="AS150" i="3"/>
  <c r="AV150" i="3"/>
  <c r="AW150" i="3"/>
  <c r="BA150" i="3"/>
  <c r="B151" i="3"/>
  <c r="C151" i="3"/>
  <c r="F151" i="3"/>
  <c r="G151" i="3"/>
  <c r="J151" i="3"/>
  <c r="K151" i="3"/>
  <c r="O151" i="3"/>
  <c r="P151" i="3"/>
  <c r="S151" i="3"/>
  <c r="T151" i="3"/>
  <c r="U151" i="3"/>
  <c r="V151" i="3"/>
  <c r="W151" i="3"/>
  <c r="X151" i="3"/>
  <c r="Y151" i="3"/>
  <c r="AA151" i="3"/>
  <c r="AB151" i="3"/>
  <c r="AC151" i="3"/>
  <c r="AD151" i="3"/>
  <c r="AF151" i="3" s="1"/>
  <c r="AE151" i="3"/>
  <c r="AG151" i="3"/>
  <c r="AH151" i="3"/>
  <c r="AJ151" i="3" s="1"/>
  <c r="AI151" i="3"/>
  <c r="AK151" i="3"/>
  <c r="AL151" i="3"/>
  <c r="AM151" i="3"/>
  <c r="AP151" i="3"/>
  <c r="AR151" i="3" s="1"/>
  <c r="AQ151" i="3"/>
  <c r="AT151" i="3"/>
  <c r="AV151" i="3" s="1"/>
  <c r="AU151" i="3"/>
  <c r="AW151" i="3"/>
  <c r="B152" i="3"/>
  <c r="D152" i="3" s="1"/>
  <c r="C152" i="3"/>
  <c r="E152" i="3"/>
  <c r="F152" i="3"/>
  <c r="H152" i="3" s="1"/>
  <c r="G152" i="3"/>
  <c r="I152" i="3"/>
  <c r="K152" i="3"/>
  <c r="N152" i="3"/>
  <c r="O152" i="3"/>
  <c r="Q152" i="3" s="1"/>
  <c r="R152" i="3"/>
  <c r="S152" i="3"/>
  <c r="W152" i="3"/>
  <c r="X152" i="3"/>
  <c r="Z152" i="3"/>
  <c r="AA152" i="3"/>
  <c r="AB152" i="3" s="1"/>
  <c r="AE152" i="3"/>
  <c r="AF152" i="3"/>
  <c r="AG152" i="3"/>
  <c r="AH152" i="3"/>
  <c r="AI152" i="3"/>
  <c r="AJ152" i="3"/>
  <c r="AK152" i="3"/>
  <c r="AM152" i="3"/>
  <c r="AN152" i="3"/>
  <c r="AO152" i="3"/>
  <c r="AP152" i="3"/>
  <c r="AR152" i="3" s="1"/>
  <c r="AQ152" i="3"/>
  <c r="AS152" i="3"/>
  <c r="AU152" i="3"/>
  <c r="B153" i="3"/>
  <c r="C153" i="3"/>
  <c r="F153" i="3"/>
  <c r="H153" i="3" s="1"/>
  <c r="G153" i="3"/>
  <c r="J153" i="3"/>
  <c r="K153" i="3"/>
  <c r="M153" i="3" s="1"/>
  <c r="N153" i="3"/>
  <c r="P153" i="3" s="1"/>
  <c r="O153" i="3"/>
  <c r="R153" i="3"/>
  <c r="S153" i="3"/>
  <c r="U153" i="3" s="1"/>
  <c r="V153" i="3"/>
  <c r="X153" i="3" s="1"/>
  <c r="W153" i="3"/>
  <c r="Z153" i="3"/>
  <c r="AA153" i="3"/>
  <c r="AC153" i="3" s="1"/>
  <c r="AD153" i="3"/>
  <c r="AF153" i="3" s="1"/>
  <c r="AE153" i="3"/>
  <c r="AH153" i="3"/>
  <c r="AI153" i="3"/>
  <c r="AL153" i="3"/>
  <c r="AN153" i="3" s="1"/>
  <c r="AM153" i="3"/>
  <c r="AP153" i="3"/>
  <c r="AQ153" i="3"/>
  <c r="AU153" i="3"/>
  <c r="AW153" i="3" s="1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Z154" i="3"/>
  <c r="BA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U155" i="3"/>
  <c r="AV155" i="3"/>
  <c r="AW155" i="3"/>
  <c r="AX155" i="3"/>
  <c r="AZ155" i="3" s="1"/>
  <c r="BA155" i="3"/>
  <c r="F156" i="3"/>
  <c r="N156" i="3"/>
  <c r="V156" i="3"/>
  <c r="Z156" i="3"/>
  <c r="AD156" i="3"/>
  <c r="AH156" i="3"/>
  <c r="AP156" i="3"/>
  <c r="AT156" i="3"/>
  <c r="D157" i="3"/>
  <c r="E157" i="3"/>
  <c r="H157" i="3"/>
  <c r="I157" i="3"/>
  <c r="L157" i="3"/>
  <c r="M157" i="3"/>
  <c r="P157" i="3"/>
  <c r="Q157" i="3"/>
  <c r="T157" i="3"/>
  <c r="U157" i="3"/>
  <c r="X157" i="3"/>
  <c r="Y157" i="3"/>
  <c r="AB157" i="3"/>
  <c r="AC157" i="3"/>
  <c r="AF157" i="3"/>
  <c r="AG157" i="3"/>
  <c r="AJ157" i="3"/>
  <c r="AK157" i="3"/>
  <c r="AL157" i="3"/>
  <c r="AX157" i="3" s="1"/>
  <c r="AN157" i="3"/>
  <c r="AO157" i="3"/>
  <c r="AR157" i="3"/>
  <c r="AS157" i="3"/>
  <c r="AV157" i="3"/>
  <c r="AW157" i="3"/>
  <c r="AZ157" i="3"/>
  <c r="BA157" i="3"/>
  <c r="B158" i="3"/>
  <c r="D158" i="3"/>
  <c r="E158" i="3"/>
  <c r="F158" i="3"/>
  <c r="H158" i="3" s="1"/>
  <c r="I158" i="3"/>
  <c r="J158" i="3"/>
  <c r="M158" i="3"/>
  <c r="N158" i="3"/>
  <c r="P158" i="3"/>
  <c r="Q158" i="3"/>
  <c r="R158" i="3"/>
  <c r="T158" i="3"/>
  <c r="U158" i="3"/>
  <c r="V158" i="3"/>
  <c r="X158" i="3" s="1"/>
  <c r="Y158" i="3"/>
  <c r="Z158" i="3"/>
  <c r="AB158" i="3"/>
  <c r="AC158" i="3"/>
  <c r="AD158" i="3"/>
  <c r="AF158" i="3"/>
  <c r="AG158" i="3"/>
  <c r="AH158" i="3"/>
  <c r="AJ158" i="3"/>
  <c r="AK158" i="3"/>
  <c r="AL158" i="3"/>
  <c r="AN158" i="3" s="1"/>
  <c r="AO158" i="3"/>
  <c r="AR158" i="3"/>
  <c r="AS158" i="3"/>
  <c r="AV158" i="3"/>
  <c r="AW158" i="3"/>
  <c r="BA158" i="3"/>
  <c r="B159" i="3"/>
  <c r="E159" i="3"/>
  <c r="F159" i="3"/>
  <c r="H159" i="3"/>
  <c r="I159" i="3"/>
  <c r="J159" i="3"/>
  <c r="L159" i="3"/>
  <c r="M159" i="3"/>
  <c r="N159" i="3"/>
  <c r="P159" i="3" s="1"/>
  <c r="Q159" i="3"/>
  <c r="R159" i="3"/>
  <c r="T159" i="3"/>
  <c r="U159" i="3"/>
  <c r="V159" i="3"/>
  <c r="X159" i="3"/>
  <c r="Y159" i="3"/>
  <c r="Z159" i="3"/>
  <c r="AB159" i="3"/>
  <c r="AC159" i="3"/>
  <c r="AD159" i="3"/>
  <c r="AF159" i="3" s="1"/>
  <c r="AG159" i="3"/>
  <c r="AJ159" i="3"/>
  <c r="AK159" i="3"/>
  <c r="AL159" i="3"/>
  <c r="AN159" i="3"/>
  <c r="AO159" i="3"/>
  <c r="AR159" i="3"/>
  <c r="AS159" i="3"/>
  <c r="AV159" i="3"/>
  <c r="AW159" i="3"/>
  <c r="BA159" i="3"/>
  <c r="B160" i="3"/>
  <c r="C160" i="3"/>
  <c r="E160" i="3"/>
  <c r="F160" i="3"/>
  <c r="H160" i="3" s="1"/>
  <c r="G160" i="3"/>
  <c r="I160" i="3"/>
  <c r="J160" i="3"/>
  <c r="K160" i="3"/>
  <c r="N160" i="3"/>
  <c r="P160" i="3" s="1"/>
  <c r="O160" i="3"/>
  <c r="R160" i="3"/>
  <c r="T160" i="3" s="1"/>
  <c r="S160" i="3"/>
  <c r="U160" i="3"/>
  <c r="V160" i="3"/>
  <c r="X160" i="3" s="1"/>
  <c r="W160" i="3"/>
  <c r="Y160" i="3"/>
  <c r="Z160" i="3"/>
  <c r="AA160" i="3"/>
  <c r="AD160" i="3"/>
  <c r="AF160" i="3" s="1"/>
  <c r="AE160" i="3"/>
  <c r="AH160" i="3"/>
  <c r="AJ160" i="3" s="1"/>
  <c r="AI160" i="3"/>
  <c r="AK160" i="3"/>
  <c r="AL160" i="3"/>
  <c r="AN160" i="3" s="1"/>
  <c r="AM160" i="3"/>
  <c r="AO160" i="3"/>
  <c r="AQ160" i="3"/>
  <c r="AU160" i="3"/>
  <c r="AW160" i="3" s="1"/>
  <c r="B161" i="3"/>
  <c r="C161" i="3"/>
  <c r="E161" i="3" s="1"/>
  <c r="D161" i="3"/>
  <c r="F161" i="3"/>
  <c r="G161" i="3"/>
  <c r="I161" i="3" s="1"/>
  <c r="J161" i="3"/>
  <c r="K161" i="3"/>
  <c r="N161" i="3"/>
  <c r="O161" i="3"/>
  <c r="Q161" i="3" s="1"/>
  <c r="P161" i="3"/>
  <c r="R161" i="3"/>
  <c r="S161" i="3"/>
  <c r="U161" i="3" s="1"/>
  <c r="T161" i="3"/>
  <c r="V161" i="3"/>
  <c r="W161" i="3"/>
  <c r="Y161" i="3" s="1"/>
  <c r="Z161" i="3"/>
  <c r="AA161" i="3"/>
  <c r="AD161" i="3"/>
  <c r="AE161" i="3"/>
  <c r="AG161" i="3" s="1"/>
  <c r="AF161" i="3"/>
  <c r="AH161" i="3"/>
  <c r="AI161" i="3"/>
  <c r="AK161" i="3" s="1"/>
  <c r="AJ161" i="3"/>
  <c r="AM161" i="3"/>
  <c r="AN161" i="3"/>
  <c r="AO161" i="3"/>
  <c r="AQ161" i="3"/>
  <c r="AR161" i="3"/>
  <c r="AS161" i="3"/>
  <c r="AU161" i="3"/>
  <c r="AX161" i="3"/>
  <c r="B162" i="3"/>
  <c r="B164" i="3" s="1"/>
  <c r="C162" i="3"/>
  <c r="E162" i="3" s="1"/>
  <c r="F162" i="3"/>
  <c r="G162" i="3"/>
  <c r="J162" i="3"/>
  <c r="L162" i="3" s="1"/>
  <c r="K162" i="3"/>
  <c r="M162" i="3" s="1"/>
  <c r="N162" i="3"/>
  <c r="O162" i="3"/>
  <c r="Q162" i="3" s="1"/>
  <c r="R162" i="3"/>
  <c r="T162" i="3" s="1"/>
  <c r="S162" i="3"/>
  <c r="U162" i="3" s="1"/>
  <c r="V162" i="3"/>
  <c r="W162" i="3"/>
  <c r="Y162" i="3" s="1"/>
  <c r="Z162" i="3"/>
  <c r="AB162" i="3" s="1"/>
  <c r="AA162" i="3"/>
  <c r="AC162" i="3" s="1"/>
  <c r="AE162" i="3"/>
  <c r="AG162" i="3" s="1"/>
  <c r="AF162" i="3"/>
  <c r="AI162" i="3"/>
  <c r="AJ162" i="3"/>
  <c r="AK162" i="3"/>
  <c r="AM162" i="3"/>
  <c r="AN162" i="3"/>
  <c r="AO162" i="3"/>
  <c r="AQ162" i="3"/>
  <c r="AU162" i="3"/>
  <c r="C163" i="3"/>
  <c r="D163" i="3"/>
  <c r="E163" i="3"/>
  <c r="G163" i="3"/>
  <c r="H163" i="3"/>
  <c r="I163" i="3"/>
  <c r="K163" i="3"/>
  <c r="O163" i="3"/>
  <c r="Q163" i="3" s="1"/>
  <c r="P163" i="3"/>
  <c r="S163" i="3"/>
  <c r="T163" i="3"/>
  <c r="U163" i="3"/>
  <c r="W163" i="3"/>
  <c r="X163" i="3"/>
  <c r="Y163" i="3"/>
  <c r="AA163" i="3"/>
  <c r="AE163" i="3"/>
  <c r="AI163" i="3"/>
  <c r="AJ163" i="3"/>
  <c r="AK163" i="3"/>
  <c r="AM163" i="3"/>
  <c r="AN163" i="3"/>
  <c r="AO163" i="3"/>
  <c r="AQ163" i="3"/>
  <c r="AU163" i="3"/>
  <c r="AW163" i="3" s="1"/>
  <c r="AX163" i="3"/>
  <c r="C164" i="3"/>
  <c r="D164" i="3"/>
  <c r="J164" i="3"/>
  <c r="N164" i="3"/>
  <c r="O164" i="3"/>
  <c r="Q164" i="3" s="1"/>
  <c r="S164" i="3"/>
  <c r="AD164" i="3"/>
  <c r="AE164" i="3"/>
  <c r="AG164" i="3" s="1"/>
  <c r="AH164" i="3"/>
  <c r="AI164" i="3"/>
  <c r="AK164" i="3" s="1"/>
  <c r="AJ164" i="3"/>
  <c r="AL164" i="3"/>
  <c r="AM164" i="3"/>
  <c r="AN164" i="3"/>
  <c r="AP164" i="3"/>
  <c r="AT164" i="3"/>
  <c r="C165" i="3"/>
  <c r="D165" i="3" s="1"/>
  <c r="E165" i="3"/>
  <c r="G165" i="3"/>
  <c r="H165" i="3"/>
  <c r="I165" i="3"/>
  <c r="K165" i="3"/>
  <c r="L165" i="3" s="1"/>
  <c r="M165" i="3"/>
  <c r="O165" i="3"/>
  <c r="Q165" i="3" s="1"/>
  <c r="S165" i="3"/>
  <c r="U165" i="3" s="1"/>
  <c r="T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B166" i="3"/>
  <c r="E166" i="3"/>
  <c r="H166" i="3"/>
  <c r="I166" i="3"/>
  <c r="L166" i="3"/>
  <c r="M166" i="3"/>
  <c r="P166" i="3"/>
  <c r="Q166" i="3"/>
  <c r="T166" i="3"/>
  <c r="U166" i="3"/>
  <c r="X166" i="3"/>
  <c r="Y166" i="3"/>
  <c r="AB166" i="3"/>
  <c r="AC166" i="3"/>
  <c r="AF166" i="3"/>
  <c r="AG166" i="3"/>
  <c r="AH166" i="3"/>
  <c r="AJ166" i="3"/>
  <c r="AK166" i="3"/>
  <c r="AL166" i="3"/>
  <c r="AN166" i="3" s="1"/>
  <c r="AO166" i="3"/>
  <c r="AR166" i="3"/>
  <c r="AS166" i="3"/>
  <c r="AV166" i="3"/>
  <c r="AW166" i="3"/>
  <c r="BA166" i="3"/>
  <c r="B167" i="3"/>
  <c r="C167" i="3"/>
  <c r="G167" i="3"/>
  <c r="I167" i="3" s="1"/>
  <c r="H167" i="3"/>
  <c r="K167" i="3"/>
  <c r="L167" i="3" s="1"/>
  <c r="M167" i="3"/>
  <c r="O167" i="3"/>
  <c r="P167" i="3"/>
  <c r="Q167" i="3"/>
  <c r="S167" i="3"/>
  <c r="T167" i="3" s="1"/>
  <c r="U167" i="3"/>
  <c r="W167" i="3"/>
  <c r="Y167" i="3" s="1"/>
  <c r="AA167" i="3"/>
  <c r="AC167" i="3" s="1"/>
  <c r="AB167" i="3"/>
  <c r="AE167" i="3"/>
  <c r="AF167" i="3"/>
  <c r="AG167" i="3"/>
  <c r="AI167" i="3"/>
  <c r="AJ167" i="3" s="1"/>
  <c r="AM167" i="3"/>
  <c r="AO167" i="3" s="1"/>
  <c r="AN167" i="3"/>
  <c r="AQ167" i="3"/>
  <c r="AR167" i="3" s="1"/>
  <c r="AS167" i="3"/>
  <c r="AU167" i="3"/>
  <c r="B168" i="3"/>
  <c r="D168" i="3"/>
  <c r="E168" i="3"/>
  <c r="F168" i="3"/>
  <c r="H168" i="3"/>
  <c r="I168" i="3"/>
  <c r="J168" i="3"/>
  <c r="L168" i="3" s="1"/>
  <c r="M168" i="3"/>
  <c r="N168" i="3"/>
  <c r="P168" i="3" s="1"/>
  <c r="Q168" i="3"/>
  <c r="R168" i="3"/>
  <c r="T168" i="3"/>
  <c r="U168" i="3"/>
  <c r="V168" i="3"/>
  <c r="X168" i="3"/>
  <c r="Y168" i="3"/>
  <c r="Z168" i="3"/>
  <c r="AB168" i="3" s="1"/>
  <c r="AC168" i="3"/>
  <c r="AD168" i="3"/>
  <c r="AF168" i="3" s="1"/>
  <c r="AG168" i="3"/>
  <c r="AH168" i="3"/>
  <c r="AJ168" i="3"/>
  <c r="AK168" i="3"/>
  <c r="AL168" i="3"/>
  <c r="AN168" i="3"/>
  <c r="AO168" i="3"/>
  <c r="AR168" i="3"/>
  <c r="AS168" i="3"/>
  <c r="AV168" i="3"/>
  <c r="AW168" i="3"/>
  <c r="BA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Z169" i="3"/>
  <c r="BA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Q170" i="3"/>
  <c r="AR170" i="3" s="1"/>
  <c r="AS170" i="3"/>
  <c r="AT170" i="3"/>
  <c r="AU170" i="3"/>
  <c r="AX170" i="3"/>
  <c r="AD171" i="3"/>
  <c r="AH171" i="3"/>
  <c r="AP171" i="3"/>
  <c r="AT171" i="3"/>
  <c r="D172" i="3"/>
  <c r="E172" i="3"/>
  <c r="H172" i="3"/>
  <c r="I172" i="3"/>
  <c r="L172" i="3"/>
  <c r="M172" i="3"/>
  <c r="P172" i="3"/>
  <c r="Q172" i="3"/>
  <c r="T172" i="3"/>
  <c r="U172" i="3"/>
  <c r="X172" i="3"/>
  <c r="Y172" i="3"/>
  <c r="AB172" i="3"/>
  <c r="AC172" i="3"/>
  <c r="AF172" i="3"/>
  <c r="AG172" i="3"/>
  <c r="AJ172" i="3"/>
  <c r="AK172" i="3"/>
  <c r="AN172" i="3"/>
  <c r="AO172" i="3"/>
  <c r="AR172" i="3"/>
  <c r="AS172" i="3"/>
  <c r="AV172" i="3"/>
  <c r="AW172" i="3"/>
  <c r="AX172" i="3"/>
  <c r="AZ172" i="3" s="1"/>
  <c r="BA172" i="3"/>
  <c r="D173" i="3"/>
  <c r="E173" i="3"/>
  <c r="H173" i="3"/>
  <c r="I173" i="3"/>
  <c r="L173" i="3"/>
  <c r="M173" i="3"/>
  <c r="P173" i="3"/>
  <c r="Q173" i="3"/>
  <c r="T173" i="3"/>
  <c r="U173" i="3"/>
  <c r="X173" i="3"/>
  <c r="Y173" i="3"/>
  <c r="AB173" i="3"/>
  <c r="AC173" i="3"/>
  <c r="AD173" i="3"/>
  <c r="AF173" i="3"/>
  <c r="AG173" i="3"/>
  <c r="AJ173" i="3"/>
  <c r="AK173" i="3"/>
  <c r="AN173" i="3"/>
  <c r="AO173" i="3"/>
  <c r="AR173" i="3"/>
  <c r="AS173" i="3"/>
  <c r="AV173" i="3"/>
  <c r="AW173" i="3"/>
  <c r="AX173" i="3"/>
  <c r="AZ173" i="3"/>
  <c r="BA173" i="3"/>
  <c r="C174" i="3"/>
  <c r="D174" i="3" s="1"/>
  <c r="E174" i="3"/>
  <c r="F174" i="3"/>
  <c r="G174" i="3"/>
  <c r="K174" i="3"/>
  <c r="N174" i="3"/>
  <c r="P174" i="3" s="1"/>
  <c r="O174" i="3"/>
  <c r="R174" i="3"/>
  <c r="S174" i="3"/>
  <c r="V174" i="3"/>
  <c r="X174" i="3" s="1"/>
  <c r="W174" i="3"/>
  <c r="Z174" i="3"/>
  <c r="AA174" i="3"/>
  <c r="AE174" i="3"/>
  <c r="AG174" i="3" s="1"/>
  <c r="AF174" i="3"/>
  <c r="AI174" i="3"/>
  <c r="AJ174" i="3"/>
  <c r="AK174" i="3"/>
  <c r="AL174" i="3"/>
  <c r="AM174" i="3"/>
  <c r="AN174" i="3"/>
  <c r="AO174" i="3"/>
  <c r="AP174" i="3"/>
  <c r="AP178" i="3" s="1"/>
  <c r="AR178" i="3" s="1"/>
  <c r="AQ174" i="3"/>
  <c r="AR174" i="3"/>
  <c r="AS174" i="3"/>
  <c r="AU174" i="3"/>
  <c r="AV174" i="3" s="1"/>
  <c r="AW174" i="3"/>
  <c r="AX174" i="3"/>
  <c r="B175" i="3"/>
  <c r="E175" i="3"/>
  <c r="F175" i="3"/>
  <c r="H175" i="3"/>
  <c r="I175" i="3"/>
  <c r="J175" i="3"/>
  <c r="L175" i="3"/>
  <c r="M175" i="3"/>
  <c r="P175" i="3"/>
  <c r="Q175" i="3"/>
  <c r="T175" i="3"/>
  <c r="U175" i="3"/>
  <c r="X175" i="3"/>
  <c r="Y175" i="3"/>
  <c r="AB175" i="3"/>
  <c r="AC175" i="3"/>
  <c r="AF175" i="3"/>
  <c r="AG175" i="3"/>
  <c r="AJ175" i="3"/>
  <c r="AK175" i="3"/>
  <c r="AL175" i="3"/>
  <c r="AN175" i="3" s="1"/>
  <c r="AO175" i="3"/>
  <c r="AR175" i="3"/>
  <c r="AS175" i="3"/>
  <c r="AV175" i="3"/>
  <c r="AW175" i="3"/>
  <c r="BA175" i="3"/>
  <c r="D176" i="3"/>
  <c r="E176" i="3"/>
  <c r="H176" i="3"/>
  <c r="I176" i="3"/>
  <c r="L176" i="3"/>
  <c r="M176" i="3"/>
  <c r="P176" i="3"/>
  <c r="Q176" i="3"/>
  <c r="T176" i="3"/>
  <c r="U176" i="3"/>
  <c r="X176" i="3"/>
  <c r="Y176" i="3"/>
  <c r="AB176" i="3"/>
  <c r="AC176" i="3"/>
  <c r="AD176" i="3"/>
  <c r="AF176" i="3"/>
  <c r="AG176" i="3"/>
  <c r="AH176" i="3"/>
  <c r="AJ176" i="3" s="1"/>
  <c r="AK176" i="3"/>
  <c r="AL176" i="3"/>
  <c r="AO176" i="3"/>
  <c r="AP176" i="3"/>
  <c r="AR176" i="3"/>
  <c r="AS176" i="3"/>
  <c r="AT176" i="3"/>
  <c r="AV176" i="3"/>
  <c r="AW176" i="3"/>
  <c r="BA176" i="3"/>
  <c r="D177" i="3"/>
  <c r="E177" i="3"/>
  <c r="H177" i="3"/>
  <c r="I177" i="3"/>
  <c r="L177" i="3"/>
  <c r="M177" i="3"/>
  <c r="P177" i="3"/>
  <c r="Q177" i="3"/>
  <c r="T177" i="3"/>
  <c r="U177" i="3"/>
  <c r="X177" i="3"/>
  <c r="Y177" i="3"/>
  <c r="AB177" i="3"/>
  <c r="AC177" i="3"/>
  <c r="AD177" i="3"/>
  <c r="AX177" i="3" s="1"/>
  <c r="AZ177" i="3" s="1"/>
  <c r="AF177" i="3"/>
  <c r="AG177" i="3"/>
  <c r="AJ177" i="3"/>
  <c r="AK177" i="3"/>
  <c r="AN177" i="3"/>
  <c r="AO177" i="3"/>
  <c r="AR177" i="3"/>
  <c r="AS177" i="3"/>
  <c r="AV177" i="3"/>
  <c r="AW177" i="3"/>
  <c r="BA177" i="3"/>
  <c r="C178" i="3"/>
  <c r="G178" i="3"/>
  <c r="J178" i="3"/>
  <c r="AE178" i="3"/>
  <c r="AI178" i="3"/>
  <c r="AM178" i="3"/>
  <c r="AQ178" i="3"/>
  <c r="AS178" i="3" s="1"/>
  <c r="AT178" i="3"/>
  <c r="AU178" i="3"/>
  <c r="AW178" i="3" s="1"/>
  <c r="AV178" i="3"/>
  <c r="D179" i="3"/>
  <c r="E179" i="3"/>
  <c r="H179" i="3"/>
  <c r="I179" i="3"/>
  <c r="L179" i="3"/>
  <c r="M179" i="3"/>
  <c r="P179" i="3"/>
  <c r="Q179" i="3"/>
  <c r="T179" i="3"/>
  <c r="U179" i="3"/>
  <c r="X179" i="3"/>
  <c r="Y179" i="3"/>
  <c r="AB179" i="3"/>
  <c r="AC179" i="3"/>
  <c r="AF179" i="3"/>
  <c r="AG179" i="3"/>
  <c r="AJ179" i="3"/>
  <c r="AK179" i="3"/>
  <c r="AN179" i="3"/>
  <c r="AO179" i="3"/>
  <c r="AR179" i="3"/>
  <c r="AS179" i="3"/>
  <c r="AV179" i="3"/>
  <c r="AW179" i="3"/>
  <c r="AX179" i="3"/>
  <c r="BA179" i="3"/>
  <c r="AZ179" i="3"/>
  <c r="D180" i="3"/>
  <c r="E180" i="3"/>
  <c r="H180" i="3"/>
  <c r="I180" i="3"/>
  <c r="L180" i="3"/>
  <c r="M180" i="3"/>
  <c r="P180" i="3"/>
  <c r="Q180" i="3"/>
  <c r="R180" i="3"/>
  <c r="T180" i="3"/>
  <c r="U180" i="3"/>
  <c r="V180" i="3"/>
  <c r="X180" i="3" s="1"/>
  <c r="Y180" i="3"/>
  <c r="Z180" i="3"/>
  <c r="AC180" i="3"/>
  <c r="AF180" i="3"/>
  <c r="AG180" i="3"/>
  <c r="AH180" i="3"/>
  <c r="AJ180" i="3" s="1"/>
  <c r="AK180" i="3"/>
  <c r="AL180" i="3"/>
  <c r="AN180" i="3" s="1"/>
  <c r="AO180" i="3"/>
  <c r="AP180" i="3"/>
  <c r="AR180" i="3"/>
  <c r="AS180" i="3"/>
  <c r="AT180" i="3"/>
  <c r="AV180" i="3"/>
  <c r="AW180" i="3"/>
  <c r="BA180" i="3"/>
  <c r="D181" i="3"/>
  <c r="E181" i="3"/>
  <c r="H181" i="3"/>
  <c r="I181" i="3"/>
  <c r="L181" i="3"/>
  <c r="M181" i="3"/>
  <c r="N181" i="3"/>
  <c r="P181" i="3"/>
  <c r="Q181" i="3"/>
  <c r="R181" i="3"/>
  <c r="T181" i="3"/>
  <c r="U181" i="3"/>
  <c r="X181" i="3"/>
  <c r="Y181" i="3"/>
  <c r="AB181" i="3"/>
  <c r="AC181" i="3"/>
  <c r="AD181" i="3"/>
  <c r="AF181" i="3" s="1"/>
  <c r="AG181" i="3"/>
  <c r="AH181" i="3"/>
  <c r="AJ181" i="3" s="1"/>
  <c r="AK181" i="3"/>
  <c r="AN181" i="3"/>
  <c r="AO181" i="3"/>
  <c r="AR181" i="3"/>
  <c r="AS181" i="3"/>
  <c r="AV181" i="3"/>
  <c r="AW181" i="3"/>
  <c r="BA181" i="3"/>
  <c r="D182" i="3"/>
  <c r="E182" i="3"/>
  <c r="H182" i="3"/>
  <c r="I182" i="3"/>
  <c r="L182" i="3"/>
  <c r="M182" i="3"/>
  <c r="N182" i="3"/>
  <c r="P182" i="3"/>
  <c r="Q182" i="3"/>
  <c r="R182" i="3"/>
  <c r="T182" i="3"/>
  <c r="U182" i="3"/>
  <c r="V182" i="3"/>
  <c r="X182" i="3" s="1"/>
  <c r="Y182" i="3"/>
  <c r="AB182" i="3"/>
  <c r="AC182" i="3"/>
  <c r="AD182" i="3"/>
  <c r="AF182" i="3"/>
  <c r="AG182" i="3"/>
  <c r="AH182" i="3"/>
  <c r="AJ182" i="3" s="1"/>
  <c r="AK182" i="3"/>
  <c r="AN182" i="3"/>
  <c r="AO182" i="3"/>
  <c r="AP182" i="3"/>
  <c r="AR182" i="3"/>
  <c r="AS182" i="3"/>
  <c r="AT182" i="3"/>
  <c r="AV182" i="3" s="1"/>
  <c r="AW182" i="3"/>
  <c r="AX182" i="3"/>
  <c r="AZ182" i="3" s="1"/>
  <c r="BA182" i="3"/>
  <c r="B183" i="3"/>
  <c r="E183" i="3"/>
  <c r="H183" i="3"/>
  <c r="I183" i="3"/>
  <c r="L183" i="3"/>
  <c r="M183" i="3"/>
  <c r="N183" i="3"/>
  <c r="P183" i="3"/>
  <c r="Q183" i="3"/>
  <c r="R183" i="3"/>
  <c r="T183" i="3"/>
  <c r="U183" i="3"/>
  <c r="V183" i="3"/>
  <c r="X183" i="3" s="1"/>
  <c r="Y183" i="3"/>
  <c r="Z183" i="3"/>
  <c r="AB183" i="3" s="1"/>
  <c r="AC183" i="3"/>
  <c r="AD183" i="3"/>
  <c r="AF183" i="3"/>
  <c r="AG183" i="3"/>
  <c r="AH183" i="3"/>
  <c r="AJ183" i="3"/>
  <c r="AK183" i="3"/>
  <c r="AL183" i="3"/>
  <c r="AN183" i="3" s="1"/>
  <c r="AO183" i="3"/>
  <c r="AP183" i="3"/>
  <c r="AR183" i="3" s="1"/>
  <c r="AS183" i="3"/>
  <c r="AT183" i="3"/>
  <c r="AV183" i="3"/>
  <c r="AW183" i="3"/>
  <c r="BA183" i="3"/>
  <c r="C184" i="3"/>
  <c r="D184" i="3"/>
  <c r="E184" i="3"/>
  <c r="F184" i="3"/>
  <c r="G184" i="3"/>
  <c r="H184" i="3"/>
  <c r="I184" i="3"/>
  <c r="K184" i="3"/>
  <c r="L184" i="3" s="1"/>
  <c r="M184" i="3"/>
  <c r="N184" i="3"/>
  <c r="O184" i="3"/>
  <c r="R184" i="3"/>
  <c r="S184" i="3"/>
  <c r="V184" i="3"/>
  <c r="W184" i="3"/>
  <c r="AA184" i="3"/>
  <c r="AE184" i="3"/>
  <c r="AG184" i="3" s="1"/>
  <c r="AF184" i="3"/>
  <c r="AH184" i="3"/>
  <c r="AI184" i="3"/>
  <c r="AK184" i="3" s="1"/>
  <c r="AJ184" i="3"/>
  <c r="AL184" i="3"/>
  <c r="AM184" i="3"/>
  <c r="AO184" i="3" s="1"/>
  <c r="AN184" i="3"/>
  <c r="AQ184" i="3"/>
  <c r="AR184" i="3"/>
  <c r="AS184" i="3"/>
  <c r="AU184" i="3"/>
  <c r="AV184" i="3" s="1"/>
  <c r="AW184" i="3"/>
  <c r="B185" i="3"/>
  <c r="C185" i="3"/>
  <c r="F185" i="3"/>
  <c r="G185" i="3"/>
  <c r="J185" i="3"/>
  <c r="K185" i="3"/>
  <c r="N185" i="3"/>
  <c r="O185" i="3"/>
  <c r="S185" i="3"/>
  <c r="V185" i="3"/>
  <c r="W185" i="3"/>
  <c r="AD185" i="3"/>
  <c r="AH185" i="3"/>
  <c r="AP185" i="3"/>
  <c r="AQ185" i="3"/>
  <c r="AT185" i="3"/>
  <c r="AU185" i="3"/>
  <c r="B186" i="3"/>
  <c r="E186" i="3"/>
  <c r="F186" i="3"/>
  <c r="H186" i="3"/>
  <c r="I186" i="3"/>
  <c r="J186" i="3"/>
  <c r="L186" i="3"/>
  <c r="M186" i="3"/>
  <c r="N186" i="3"/>
  <c r="P186" i="3" s="1"/>
  <c r="Q186" i="3"/>
  <c r="R186" i="3"/>
  <c r="T186" i="3" s="1"/>
  <c r="U186" i="3"/>
  <c r="V186" i="3"/>
  <c r="X186" i="3"/>
  <c r="Y186" i="3"/>
  <c r="AB186" i="3"/>
  <c r="AC186" i="3"/>
  <c r="AF186" i="3"/>
  <c r="AG186" i="3"/>
  <c r="AJ186" i="3"/>
  <c r="AK186" i="3"/>
  <c r="AN186" i="3"/>
  <c r="AO186" i="3"/>
  <c r="AR186" i="3"/>
  <c r="AS186" i="3"/>
  <c r="AV186" i="3"/>
  <c r="AW186" i="3"/>
  <c r="BA186" i="3"/>
  <c r="B188" i="3"/>
  <c r="D188" i="3"/>
  <c r="E188" i="3"/>
  <c r="F188" i="3"/>
  <c r="H188" i="3" s="1"/>
  <c r="I188" i="3"/>
  <c r="J188" i="3"/>
  <c r="L188" i="3" s="1"/>
  <c r="M188" i="3"/>
  <c r="N188" i="3"/>
  <c r="P188" i="3"/>
  <c r="Q188" i="3"/>
  <c r="T188" i="3"/>
  <c r="U188" i="3"/>
  <c r="X188" i="3"/>
  <c r="Y188" i="3"/>
  <c r="AB188" i="3"/>
  <c r="AC188" i="3"/>
  <c r="AF188" i="3"/>
  <c r="AG188" i="3"/>
  <c r="AJ188" i="3"/>
  <c r="AK188" i="3"/>
  <c r="AN188" i="3"/>
  <c r="AO188" i="3"/>
  <c r="AR188" i="3"/>
  <c r="AS188" i="3"/>
  <c r="AV188" i="3"/>
  <c r="AW188" i="3"/>
  <c r="BA188" i="3"/>
  <c r="D189" i="3"/>
  <c r="E189" i="3"/>
  <c r="H189" i="3"/>
  <c r="I189" i="3"/>
  <c r="L189" i="3"/>
  <c r="M189" i="3"/>
  <c r="P189" i="3"/>
  <c r="Q189" i="3"/>
  <c r="T189" i="3"/>
  <c r="U189" i="3"/>
  <c r="X189" i="3"/>
  <c r="Y189" i="3"/>
  <c r="Z189" i="3"/>
  <c r="AB189" i="3"/>
  <c r="AC189" i="3"/>
  <c r="AD189" i="3"/>
  <c r="AF189" i="3" s="1"/>
  <c r="AG189" i="3"/>
  <c r="AH189" i="3"/>
  <c r="AK189" i="3"/>
  <c r="AL189" i="3"/>
  <c r="AN189" i="3"/>
  <c r="AO189" i="3"/>
  <c r="AR189" i="3"/>
  <c r="AS189" i="3"/>
  <c r="AV189" i="3"/>
  <c r="AW189" i="3"/>
  <c r="BA189" i="3"/>
  <c r="B190" i="3"/>
  <c r="C190" i="3"/>
  <c r="E190" i="3" s="1"/>
  <c r="D190" i="3"/>
  <c r="F190" i="3"/>
  <c r="G190" i="3"/>
  <c r="I190" i="3" s="1"/>
  <c r="H190" i="3"/>
  <c r="J190" i="3"/>
  <c r="K190" i="3"/>
  <c r="M190" i="3" s="1"/>
  <c r="L190" i="3"/>
  <c r="N190" i="3"/>
  <c r="O190" i="3"/>
  <c r="Q190" i="3" s="1"/>
  <c r="P190" i="3"/>
  <c r="R190" i="3"/>
  <c r="S190" i="3"/>
  <c r="U190" i="3" s="1"/>
  <c r="T190" i="3"/>
  <c r="V190" i="3"/>
  <c r="W190" i="3"/>
  <c r="Y190" i="3" s="1"/>
  <c r="X190" i="3"/>
  <c r="AA190" i="3"/>
  <c r="AB190" i="3"/>
  <c r="AC190" i="3"/>
  <c r="AE190" i="3"/>
  <c r="AF190" i="3" s="1"/>
  <c r="AG190" i="3"/>
  <c r="AI190" i="3"/>
  <c r="AM190" i="3"/>
  <c r="AO190" i="3" s="1"/>
  <c r="AN190" i="3"/>
  <c r="AQ190" i="3"/>
  <c r="AR190" i="3"/>
  <c r="AS190" i="3"/>
  <c r="AU190" i="3"/>
  <c r="AV190" i="3" s="1"/>
  <c r="AW190" i="3"/>
  <c r="AX190" i="3"/>
  <c r="C191" i="3"/>
  <c r="G191" i="3"/>
  <c r="I191" i="3" s="1"/>
  <c r="H191" i="3"/>
  <c r="K191" i="3"/>
  <c r="L191" i="3"/>
  <c r="M191" i="3"/>
  <c r="O191" i="3"/>
  <c r="P191" i="3" s="1"/>
  <c r="Q191" i="3"/>
  <c r="S191" i="3"/>
  <c r="W191" i="3"/>
  <c r="Y191" i="3" s="1"/>
  <c r="X191" i="3"/>
  <c r="AA191" i="3"/>
  <c r="AB191" i="3"/>
  <c r="AC191" i="3"/>
  <c r="AD191" i="3"/>
  <c r="AE191" i="3"/>
  <c r="AF191" i="3"/>
  <c r="AG191" i="3"/>
  <c r="AI191" i="3"/>
  <c r="AJ191" i="3" s="1"/>
  <c r="AK191" i="3"/>
  <c r="AM191" i="3"/>
  <c r="AQ191" i="3"/>
  <c r="AS191" i="3" s="1"/>
  <c r="AR191" i="3"/>
  <c r="AU191" i="3"/>
  <c r="AV191" i="3"/>
  <c r="AW191" i="3"/>
  <c r="AX191" i="3"/>
  <c r="C192" i="3"/>
  <c r="D192" i="3" s="1"/>
  <c r="E192" i="3"/>
  <c r="G192" i="3"/>
  <c r="K192" i="3"/>
  <c r="M192" i="3" s="1"/>
  <c r="L192" i="3"/>
  <c r="O192" i="3"/>
  <c r="P192" i="3"/>
  <c r="Q192" i="3"/>
  <c r="S192" i="3"/>
  <c r="T192" i="3" s="1"/>
  <c r="U192" i="3"/>
  <c r="V192" i="3"/>
  <c r="W192" i="3"/>
  <c r="Y192" i="3"/>
  <c r="Z192" i="3"/>
  <c r="AA192" i="3"/>
  <c r="AD192" i="3"/>
  <c r="AE192" i="3"/>
  <c r="AH192" i="3"/>
  <c r="AI192" i="3"/>
  <c r="AL192" i="3"/>
  <c r="AM192" i="3"/>
  <c r="AQ192" i="3"/>
  <c r="AU192" i="3"/>
  <c r="AW192" i="3" s="1"/>
  <c r="AV192" i="3"/>
  <c r="B193" i="3"/>
  <c r="F193" i="3"/>
  <c r="J193" i="3"/>
  <c r="K193" i="3"/>
  <c r="M193" i="3" s="1"/>
  <c r="L193" i="3"/>
  <c r="N193" i="3"/>
  <c r="O193" i="3"/>
  <c r="Q193" i="3" s="1"/>
  <c r="P193" i="3"/>
  <c r="R193" i="3"/>
  <c r="W193" i="3"/>
  <c r="AA193" i="3"/>
  <c r="AE193" i="3"/>
  <c r="AP193" i="3"/>
  <c r="AT193" i="3"/>
  <c r="AU193" i="3"/>
  <c r="AW193" i="3" s="1"/>
  <c r="AV193" i="3"/>
  <c r="D194" i="3"/>
  <c r="E194" i="3"/>
  <c r="H194" i="3"/>
  <c r="I194" i="3"/>
  <c r="L194" i="3"/>
  <c r="M194" i="3"/>
  <c r="P194" i="3"/>
  <c r="Q194" i="3"/>
  <c r="T194" i="3"/>
  <c r="U194" i="3"/>
  <c r="X194" i="3"/>
  <c r="Y194" i="3"/>
  <c r="AB194" i="3"/>
  <c r="AC194" i="3"/>
  <c r="AD194" i="3"/>
  <c r="AG194" i="3"/>
  <c r="AH194" i="3"/>
  <c r="AJ194" i="3"/>
  <c r="AK194" i="3"/>
  <c r="AL194" i="3"/>
  <c r="AN194" i="3"/>
  <c r="AO194" i="3"/>
  <c r="AP194" i="3"/>
  <c r="AR194" i="3" s="1"/>
  <c r="AS194" i="3"/>
  <c r="AT194" i="3"/>
  <c r="AV194" i="3" s="1"/>
  <c r="AW194" i="3"/>
  <c r="BA194" i="3"/>
  <c r="C195" i="3"/>
  <c r="E195" i="3" s="1"/>
  <c r="D195" i="3"/>
  <c r="G195" i="3"/>
  <c r="H195" i="3"/>
  <c r="I195" i="3"/>
  <c r="K195" i="3"/>
  <c r="L195" i="3" s="1"/>
  <c r="M195" i="3"/>
  <c r="O195" i="3"/>
  <c r="S195" i="3"/>
  <c r="U195" i="3" s="1"/>
  <c r="T195" i="3"/>
  <c r="W195" i="3"/>
  <c r="X195" i="3"/>
  <c r="Y195" i="3"/>
  <c r="AA195" i="3"/>
  <c r="AB195" i="3" s="1"/>
  <c r="AC195" i="3"/>
  <c r="AE195" i="3"/>
  <c r="AI195" i="3"/>
  <c r="AK195" i="3" s="1"/>
  <c r="AJ195" i="3"/>
  <c r="AM195" i="3"/>
  <c r="AN195" i="3"/>
  <c r="AO195" i="3"/>
  <c r="AP195" i="3"/>
  <c r="AQ195" i="3"/>
  <c r="AR195" i="3"/>
  <c r="AS195" i="3"/>
  <c r="AU195" i="3"/>
  <c r="AV195" i="3" s="1"/>
  <c r="AW195" i="3"/>
  <c r="AX195" i="3"/>
  <c r="B62" i="1"/>
  <c r="B61" i="1"/>
  <c r="B60" i="1"/>
  <c r="B59" i="1"/>
  <c r="B63" i="1" s="1"/>
  <c r="B54" i="1"/>
  <c r="B53" i="1"/>
  <c r="B52" i="1"/>
  <c r="B51" i="1"/>
  <c r="B50" i="1"/>
  <c r="B49" i="1"/>
  <c r="B48" i="1"/>
  <c r="B55" i="1" s="1"/>
  <c r="B45" i="1"/>
  <c r="B46" i="1" s="1"/>
  <c r="B42" i="1"/>
  <c r="B43" i="1" s="1"/>
  <c r="B35" i="1"/>
  <c r="B34" i="1"/>
  <c r="B33" i="1"/>
  <c r="B32" i="1"/>
  <c r="B36" i="1" s="1"/>
  <c r="B28" i="1"/>
  <c r="B27" i="1"/>
  <c r="B26" i="1"/>
  <c r="B25" i="1"/>
  <c r="B29" i="1" s="1"/>
  <c r="B24" i="1"/>
  <c r="B23" i="1"/>
  <c r="B22" i="1"/>
  <c r="B20" i="1"/>
  <c r="B19" i="1"/>
  <c r="B18" i="1"/>
  <c r="B14" i="1"/>
  <c r="B13" i="1"/>
  <c r="B12" i="1"/>
  <c r="B11" i="1"/>
  <c r="B15" i="1" s="1"/>
  <c r="B16" i="1" s="1"/>
  <c r="B30" i="1" s="1"/>
  <c r="B37" i="1" s="1"/>
  <c r="B10" i="1"/>
  <c r="I19" i="5" l="1"/>
  <c r="I28" i="5"/>
  <c r="D17" i="5"/>
  <c r="I27" i="5"/>
  <c r="I31" i="5"/>
  <c r="I16" i="5"/>
  <c r="I21" i="5"/>
  <c r="I26" i="5"/>
  <c r="I24" i="5"/>
  <c r="I22" i="5"/>
  <c r="I20" i="5"/>
  <c r="E40" i="5"/>
  <c r="E42" i="5" s="1"/>
  <c r="H46" i="5"/>
  <c r="H55" i="5" s="1"/>
  <c r="I23" i="5"/>
  <c r="I30" i="5"/>
  <c r="I18" i="5"/>
  <c r="H40" i="5"/>
  <c r="H52" i="5" s="1"/>
  <c r="E187" i="7"/>
  <c r="E196" i="7" s="1"/>
  <c r="E197" i="7" s="1"/>
  <c r="E198" i="7" s="1"/>
  <c r="F187" i="7"/>
  <c r="F196" i="7" s="1"/>
  <c r="D187" i="7"/>
  <c r="D196" i="7" s="1"/>
  <c r="D197" i="7" s="1"/>
  <c r="D198" i="7" s="1"/>
  <c r="I197" i="7"/>
  <c r="I198" i="7" s="1"/>
  <c r="G187" i="7"/>
  <c r="G196" i="7" s="1"/>
  <c r="G197" i="7" s="1"/>
  <c r="G198" i="7" s="1"/>
  <c r="J197" i="7"/>
  <c r="J198" i="7" s="1"/>
  <c r="F197" i="7"/>
  <c r="F198" i="7" s="1"/>
  <c r="K187" i="7"/>
  <c r="K196" i="7" s="1"/>
  <c r="K197" i="7" s="1"/>
  <c r="K198" i="7" s="1"/>
  <c r="E28" i="4"/>
  <c r="C66" i="4"/>
  <c r="K28" i="4"/>
  <c r="I193" i="4"/>
  <c r="J28" i="4"/>
  <c r="D13" i="4"/>
  <c r="J129" i="4"/>
  <c r="B185" i="4"/>
  <c r="K66" i="4"/>
  <c r="F28" i="4"/>
  <c r="E90" i="4"/>
  <c r="I178" i="4"/>
  <c r="J193" i="4"/>
  <c r="B28" i="4"/>
  <c r="K24" i="4"/>
  <c r="H164" i="4"/>
  <c r="J113" i="4"/>
  <c r="I164" i="4"/>
  <c r="G164" i="4"/>
  <c r="E164" i="4"/>
  <c r="D140" i="4"/>
  <c r="D145" i="4" s="1"/>
  <c r="H28" i="4"/>
  <c r="C28" i="4"/>
  <c r="H13" i="4"/>
  <c r="E13" i="4"/>
  <c r="H185" i="4"/>
  <c r="D23" i="4"/>
  <c r="D24" i="4" s="1"/>
  <c r="B23" i="4"/>
  <c r="B24" i="4" s="1"/>
  <c r="B113" i="4"/>
  <c r="D178" i="4"/>
  <c r="C164" i="4"/>
  <c r="D129" i="4"/>
  <c r="B129" i="4"/>
  <c r="G23" i="4"/>
  <c r="F164" i="4"/>
  <c r="K90" i="4"/>
  <c r="I56" i="4"/>
  <c r="D164" i="4"/>
  <c r="I90" i="4"/>
  <c r="E178" i="4"/>
  <c r="C129" i="4"/>
  <c r="K185" i="4"/>
  <c r="J185" i="4"/>
  <c r="J178" i="4"/>
  <c r="C178" i="4"/>
  <c r="K178" i="4"/>
  <c r="J164" i="4"/>
  <c r="B164" i="4"/>
  <c r="F129" i="4"/>
  <c r="D90" i="4"/>
  <c r="F140" i="4"/>
  <c r="F145" i="4" s="1"/>
  <c r="I129" i="4"/>
  <c r="G113" i="4"/>
  <c r="E113" i="4"/>
  <c r="C90" i="4"/>
  <c r="I24" i="4"/>
  <c r="I30" i="4" s="1"/>
  <c r="I34" i="4" s="1"/>
  <c r="J140" i="4"/>
  <c r="J145" i="4" s="1"/>
  <c r="G140" i="4"/>
  <c r="G56" i="4"/>
  <c r="E56" i="4"/>
  <c r="C56" i="4"/>
  <c r="F23" i="4"/>
  <c r="G193" i="4"/>
  <c r="G185" i="4"/>
  <c r="E156" i="4"/>
  <c r="J90" i="4"/>
  <c r="G13" i="4"/>
  <c r="D193" i="4"/>
  <c r="E185" i="4"/>
  <c r="E193" i="4"/>
  <c r="F185" i="4"/>
  <c r="B178" i="4"/>
  <c r="H106" i="4"/>
  <c r="J106" i="4"/>
  <c r="I71" i="4"/>
  <c r="J56" i="4"/>
  <c r="H56" i="4"/>
  <c r="F56" i="4"/>
  <c r="D56" i="4"/>
  <c r="B56" i="4"/>
  <c r="K56" i="4"/>
  <c r="C193" i="4"/>
  <c r="H193" i="4"/>
  <c r="H145" i="4"/>
  <c r="D113" i="4"/>
  <c r="H113" i="4"/>
  <c r="B145" i="4"/>
  <c r="F106" i="4"/>
  <c r="F193" i="4"/>
  <c r="B193" i="4"/>
  <c r="E145" i="4"/>
  <c r="C145" i="4"/>
  <c r="H129" i="4"/>
  <c r="E129" i="4"/>
  <c r="C117" i="4"/>
  <c r="K113" i="4"/>
  <c r="B156" i="4"/>
  <c r="K156" i="4"/>
  <c r="I156" i="4"/>
  <c r="G156" i="4"/>
  <c r="F117" i="4"/>
  <c r="C106" i="4"/>
  <c r="G106" i="4"/>
  <c r="H90" i="4"/>
  <c r="K193" i="4"/>
  <c r="I185" i="4"/>
  <c r="C185" i="4"/>
  <c r="H156" i="4"/>
  <c r="F156" i="4"/>
  <c r="D156" i="4"/>
  <c r="K140" i="4"/>
  <c r="K145" i="4" s="1"/>
  <c r="I140" i="4"/>
  <c r="K129" i="4"/>
  <c r="G129" i="4"/>
  <c r="I117" i="4"/>
  <c r="I106" i="4"/>
  <c r="D106" i="4"/>
  <c r="B106" i="4"/>
  <c r="C156" i="4"/>
  <c r="J156" i="4"/>
  <c r="E106" i="4"/>
  <c r="C71" i="4"/>
  <c r="D71" i="4"/>
  <c r="I66" i="4"/>
  <c r="G66" i="4"/>
  <c r="E66" i="4"/>
  <c r="K78" i="4"/>
  <c r="J78" i="4"/>
  <c r="I78" i="4"/>
  <c r="H78" i="4"/>
  <c r="G78" i="4"/>
  <c r="F78" i="4"/>
  <c r="E78" i="4"/>
  <c r="D78" i="4"/>
  <c r="C78" i="4"/>
  <c r="B78" i="4"/>
  <c r="J66" i="4"/>
  <c r="H66" i="4"/>
  <c r="F66" i="4"/>
  <c r="D66" i="4"/>
  <c r="B66" i="4"/>
  <c r="D28" i="4"/>
  <c r="E24" i="4"/>
  <c r="C13" i="4"/>
  <c r="J23" i="4"/>
  <c r="H23" i="4"/>
  <c r="F13" i="4"/>
  <c r="J13" i="4"/>
  <c r="BA163" i="3"/>
  <c r="AZ163" i="3"/>
  <c r="X192" i="3"/>
  <c r="AX192" i="3"/>
  <c r="AZ192" i="3" s="1"/>
  <c r="V193" i="3"/>
  <c r="T184" i="3"/>
  <c r="U184" i="3"/>
  <c r="AN176" i="3"/>
  <c r="AX176" i="3"/>
  <c r="AZ176" i="3" s="1"/>
  <c r="AX168" i="3"/>
  <c r="AZ168" i="3" s="1"/>
  <c r="AV164" i="3"/>
  <c r="AC161" i="3"/>
  <c r="AB161" i="3"/>
  <c r="AA164" i="3"/>
  <c r="BA149" i="3"/>
  <c r="AZ149" i="3"/>
  <c r="AX134" i="3"/>
  <c r="X134" i="3"/>
  <c r="V140" i="3"/>
  <c r="AN115" i="3"/>
  <c r="AO115" i="3"/>
  <c r="AM117" i="3"/>
  <c r="AV99" i="3"/>
  <c r="AW99" i="3"/>
  <c r="BA99" i="3"/>
  <c r="AF93" i="3"/>
  <c r="AG93" i="3"/>
  <c r="T63" i="3"/>
  <c r="R66" i="3"/>
  <c r="AN58" i="3"/>
  <c r="AO58" i="3"/>
  <c r="AL66" i="3"/>
  <c r="AF58" i="3"/>
  <c r="AG58" i="3"/>
  <c r="X58" i="3"/>
  <c r="Y58" i="3"/>
  <c r="V66" i="3"/>
  <c r="P58" i="3"/>
  <c r="Q58" i="3"/>
  <c r="N66" i="3"/>
  <c r="H58" i="3"/>
  <c r="I58" i="3"/>
  <c r="F66" i="3"/>
  <c r="AZ195" i="3"/>
  <c r="AF195" i="3"/>
  <c r="AG195" i="3"/>
  <c r="P195" i="3"/>
  <c r="Q195" i="3"/>
  <c r="AF194" i="3"/>
  <c r="AX194" i="3"/>
  <c r="AZ194" i="3" s="1"/>
  <c r="Y193" i="3"/>
  <c r="AR192" i="3"/>
  <c r="AS192" i="3"/>
  <c r="AQ193" i="3"/>
  <c r="AJ192" i="3"/>
  <c r="AK192" i="3"/>
  <c r="AB192" i="3"/>
  <c r="Z193" i="3"/>
  <c r="AB193" i="3" s="1"/>
  <c r="AC192" i="3"/>
  <c r="AJ189" i="3"/>
  <c r="AH193" i="3"/>
  <c r="AR185" i="3"/>
  <c r="AS185" i="3"/>
  <c r="Z185" i="3"/>
  <c r="AB185" i="3" s="1"/>
  <c r="R185" i="3"/>
  <c r="L185" i="3"/>
  <c r="M185" i="3"/>
  <c r="D185" i="3"/>
  <c r="E185" i="3"/>
  <c r="AB180" i="3"/>
  <c r="AX180" i="3"/>
  <c r="AZ180" i="3" s="1"/>
  <c r="AO178" i="3"/>
  <c r="AZ174" i="3"/>
  <c r="AC174" i="3"/>
  <c r="AA178" i="3"/>
  <c r="U174" i="3"/>
  <c r="S178" i="3"/>
  <c r="U178" i="3" s="1"/>
  <c r="L174" i="3"/>
  <c r="BA174" i="3"/>
  <c r="M174" i="3"/>
  <c r="K178" i="3"/>
  <c r="BA167" i="3"/>
  <c r="AF164" i="3"/>
  <c r="AR163" i="3"/>
  <c r="AS163" i="3"/>
  <c r="AW162" i="3"/>
  <c r="AV162" i="3"/>
  <c r="I162" i="3"/>
  <c r="BA162" i="3"/>
  <c r="BA161" i="3"/>
  <c r="AB160" i="3"/>
  <c r="AC160" i="3"/>
  <c r="D159" i="3"/>
  <c r="AX159" i="3"/>
  <c r="AZ159" i="3" s="1"/>
  <c r="AQ156" i="3"/>
  <c r="AS153" i="3"/>
  <c r="AI156" i="3"/>
  <c r="AJ156" i="3" s="1"/>
  <c r="AK153" i="3"/>
  <c r="E153" i="3"/>
  <c r="BA153" i="3"/>
  <c r="BA152" i="3"/>
  <c r="AN150" i="3"/>
  <c r="AX150" i="3"/>
  <c r="AZ150" i="3" s="1"/>
  <c r="M140" i="3"/>
  <c r="K145" i="3"/>
  <c r="P138" i="3"/>
  <c r="Q138" i="3"/>
  <c r="BA138" i="3"/>
  <c r="O140" i="3"/>
  <c r="AR137" i="3"/>
  <c r="AP140" i="3"/>
  <c r="AS137" i="3"/>
  <c r="AX137" i="3"/>
  <c r="AZ137" i="3" s="1"/>
  <c r="U135" i="3"/>
  <c r="S140" i="3"/>
  <c r="L135" i="3"/>
  <c r="J140" i="3"/>
  <c r="L140" i="3" s="1"/>
  <c r="M135" i="3"/>
  <c r="D128" i="3"/>
  <c r="BA128" i="3"/>
  <c r="E128" i="3"/>
  <c r="AR125" i="3"/>
  <c r="AP129" i="3"/>
  <c r="AR129" i="3" s="1"/>
  <c r="AX125" i="3"/>
  <c r="AZ125" i="3" s="1"/>
  <c r="H111" i="3"/>
  <c r="AX111" i="3"/>
  <c r="AZ111" i="3" s="1"/>
  <c r="F113" i="3"/>
  <c r="D107" i="3"/>
  <c r="AX107" i="3"/>
  <c r="AZ107" i="3" s="1"/>
  <c r="B130" i="3"/>
  <c r="AJ103" i="3"/>
  <c r="AX103" i="3"/>
  <c r="AZ103" i="3" s="1"/>
  <c r="AH106" i="3"/>
  <c r="P100" i="3"/>
  <c r="AX100" i="3"/>
  <c r="AZ100" i="3" s="1"/>
  <c r="N130" i="3"/>
  <c r="BA95" i="3"/>
  <c r="AD66" i="3"/>
  <c r="AF66" i="3" s="1"/>
  <c r="D186" i="3"/>
  <c r="AX186" i="3"/>
  <c r="AZ186" i="3" s="1"/>
  <c r="D175" i="3"/>
  <c r="B178" i="3"/>
  <c r="D167" i="3"/>
  <c r="AX167" i="3"/>
  <c r="AZ167" i="3" s="1"/>
  <c r="AV129" i="3"/>
  <c r="AW129" i="3"/>
  <c r="AN123" i="3"/>
  <c r="AL129" i="3"/>
  <c r="AN191" i="3"/>
  <c r="AO191" i="3"/>
  <c r="AM193" i="3"/>
  <c r="AO193" i="3" s="1"/>
  <c r="T191" i="3"/>
  <c r="U191" i="3"/>
  <c r="S193" i="3"/>
  <c r="D191" i="3"/>
  <c r="E191" i="3"/>
  <c r="C193" i="3"/>
  <c r="AL185" i="3"/>
  <c r="AX184" i="3"/>
  <c r="AZ184" i="3" s="1"/>
  <c r="X184" i="3"/>
  <c r="Y184" i="3"/>
  <c r="P184" i="3"/>
  <c r="Q184" i="3"/>
  <c r="D183" i="3"/>
  <c r="AX183" i="3"/>
  <c r="AZ183" i="3" s="1"/>
  <c r="AX175" i="3"/>
  <c r="AZ175" i="3" s="1"/>
  <c r="AB174" i="3"/>
  <c r="T174" i="3"/>
  <c r="AV170" i="3"/>
  <c r="AW170" i="3"/>
  <c r="AV167" i="3"/>
  <c r="AW167" i="3"/>
  <c r="Z164" i="3"/>
  <c r="P164" i="3"/>
  <c r="M161" i="3"/>
  <c r="L161" i="3"/>
  <c r="K164" i="3"/>
  <c r="M164" i="3" s="1"/>
  <c r="T152" i="3"/>
  <c r="AX152" i="3"/>
  <c r="AZ152" i="3" s="1"/>
  <c r="R156" i="3"/>
  <c r="AN151" i="3"/>
  <c r="AO151" i="3"/>
  <c r="AL156" i="3"/>
  <c r="L151" i="3"/>
  <c r="J156" i="3"/>
  <c r="D151" i="3"/>
  <c r="AX151" i="3"/>
  <c r="B156" i="3"/>
  <c r="AN145" i="3"/>
  <c r="AO140" i="3"/>
  <c r="AN140" i="3"/>
  <c r="AM145" i="3"/>
  <c r="AO145" i="3" s="1"/>
  <c r="AW139" i="3"/>
  <c r="AV139" i="3"/>
  <c r="AU140" i="3"/>
  <c r="L106" i="3"/>
  <c r="J130" i="3"/>
  <c r="AV95" i="3"/>
  <c r="AW95" i="3"/>
  <c r="AJ89" i="3"/>
  <c r="AX89" i="3"/>
  <c r="AZ89" i="3" s="1"/>
  <c r="H192" i="3"/>
  <c r="I192" i="3"/>
  <c r="G193" i="3"/>
  <c r="AB184" i="3"/>
  <c r="AA185" i="3"/>
  <c r="AC184" i="3"/>
  <c r="AZ170" i="3"/>
  <c r="BA170" i="3"/>
  <c r="AG163" i="3"/>
  <c r="AF163" i="3"/>
  <c r="G145" i="3"/>
  <c r="AC193" i="3"/>
  <c r="AN192" i="3"/>
  <c r="AO192" i="3"/>
  <c r="AF192" i="3"/>
  <c r="AG192" i="3"/>
  <c r="AJ190" i="3"/>
  <c r="AK190" i="3"/>
  <c r="AI193" i="3"/>
  <c r="AK193" i="3" s="1"/>
  <c r="AL193" i="3"/>
  <c r="AV185" i="3"/>
  <c r="AW185" i="3"/>
  <c r="X185" i="3"/>
  <c r="Y185" i="3"/>
  <c r="P185" i="3"/>
  <c r="Q185" i="3"/>
  <c r="H185" i="3"/>
  <c r="I185" i="3"/>
  <c r="AX181" i="3"/>
  <c r="AZ181" i="3" s="1"/>
  <c r="AL178" i="3"/>
  <c r="AN178" i="3" s="1"/>
  <c r="Y174" i="3"/>
  <c r="W178" i="3"/>
  <c r="Q174" i="3"/>
  <c r="O178" i="3"/>
  <c r="Q178" i="3" s="1"/>
  <c r="H174" i="3"/>
  <c r="F178" i="3"/>
  <c r="H178" i="3" s="1"/>
  <c r="I174" i="3"/>
  <c r="N171" i="3"/>
  <c r="E167" i="3"/>
  <c r="D166" i="3"/>
  <c r="AX166" i="3"/>
  <c r="AZ166" i="3" s="1"/>
  <c r="AU164" i="3"/>
  <c r="AW164" i="3" s="1"/>
  <c r="AR160" i="3"/>
  <c r="AS160" i="3"/>
  <c r="AQ164" i="3"/>
  <c r="AS164" i="3" s="1"/>
  <c r="L160" i="3"/>
  <c r="M160" i="3"/>
  <c r="L158" i="3"/>
  <c r="AX158" i="3"/>
  <c r="AZ158" i="3" s="1"/>
  <c r="AV152" i="3"/>
  <c r="AU156" i="3"/>
  <c r="AW152" i="3"/>
  <c r="H121" i="3"/>
  <c r="AX121" i="3"/>
  <c r="AZ121" i="3" s="1"/>
  <c r="T113" i="3"/>
  <c r="R130" i="3"/>
  <c r="AR106" i="3"/>
  <c r="AP130" i="3"/>
  <c r="H97" i="3"/>
  <c r="I97" i="3"/>
  <c r="AC96" i="3"/>
  <c r="M96" i="3"/>
  <c r="E96" i="3"/>
  <c r="BA96" i="3"/>
  <c r="AF92" i="3"/>
  <c r="AD130" i="3"/>
  <c r="AX92" i="3"/>
  <c r="AZ92" i="3" s="1"/>
  <c r="E164" i="3"/>
  <c r="AB163" i="3"/>
  <c r="AC163" i="3"/>
  <c r="AR162" i="3"/>
  <c r="AS162" i="3"/>
  <c r="X162" i="3"/>
  <c r="P162" i="3"/>
  <c r="H162" i="3"/>
  <c r="AZ161" i="3"/>
  <c r="X156" i="3"/>
  <c r="AR153" i="3"/>
  <c r="AJ153" i="3"/>
  <c r="AB153" i="3"/>
  <c r="T153" i="3"/>
  <c r="L153" i="3"/>
  <c r="D153" i="3"/>
  <c r="AX153" i="3"/>
  <c r="G156" i="3"/>
  <c r="I151" i="3"/>
  <c r="AK145" i="3"/>
  <c r="AR139" i="3"/>
  <c r="AS139" i="3"/>
  <c r="AR138" i="3"/>
  <c r="AS138" i="3"/>
  <c r="BA137" i="3"/>
  <c r="AB137" i="3"/>
  <c r="AC137" i="3"/>
  <c r="H137" i="3"/>
  <c r="I137" i="3"/>
  <c r="T135" i="3"/>
  <c r="AB134" i="3"/>
  <c r="Z140" i="3"/>
  <c r="AB140" i="3" s="1"/>
  <c r="AR132" i="3"/>
  <c r="AS132" i="3"/>
  <c r="AJ132" i="3"/>
  <c r="AK132" i="3"/>
  <c r="AB132" i="3"/>
  <c r="AC132" i="3"/>
  <c r="T132" i="3"/>
  <c r="U132" i="3"/>
  <c r="L132" i="3"/>
  <c r="M132" i="3"/>
  <c r="D132" i="3"/>
  <c r="AX132" i="3"/>
  <c r="AZ132" i="3" s="1"/>
  <c r="E132" i="3"/>
  <c r="AF129" i="3"/>
  <c r="AG129" i="3"/>
  <c r="P129" i="3"/>
  <c r="AZ128" i="3"/>
  <c r="AX123" i="3"/>
  <c r="AZ123" i="3" s="1"/>
  <c r="AR116" i="3"/>
  <c r="AP117" i="3"/>
  <c r="T115" i="3"/>
  <c r="U115" i="3"/>
  <c r="S117" i="3"/>
  <c r="U117" i="3" s="1"/>
  <c r="AV105" i="3"/>
  <c r="AW105" i="3"/>
  <c r="AN105" i="3"/>
  <c r="AO105" i="3"/>
  <c r="AB102" i="3"/>
  <c r="AA106" i="3"/>
  <c r="AC106" i="3" s="1"/>
  <c r="AC102" i="3"/>
  <c r="Q106" i="3"/>
  <c r="M106" i="3"/>
  <c r="I106" i="3"/>
  <c r="BA102" i="3"/>
  <c r="H98" i="3"/>
  <c r="AX98" i="3"/>
  <c r="AZ98" i="3" s="1"/>
  <c r="AJ96" i="3"/>
  <c r="AB96" i="3"/>
  <c r="T96" i="3"/>
  <c r="L96" i="3"/>
  <c r="D96" i="3"/>
  <c r="AV94" i="3"/>
  <c r="AW94" i="3"/>
  <c r="AU130" i="3"/>
  <c r="BA94" i="3"/>
  <c r="AK93" i="3"/>
  <c r="E93" i="3"/>
  <c r="BA93" i="3"/>
  <c r="AD193" i="3"/>
  <c r="AF193" i="3" s="1"/>
  <c r="AX189" i="3"/>
  <c r="AZ189" i="3" s="1"/>
  <c r="AX188" i="3"/>
  <c r="AZ188" i="3" s="1"/>
  <c r="AH178" i="3"/>
  <c r="AJ178" i="3" s="1"/>
  <c r="AD178" i="3"/>
  <c r="AF178" i="3" s="1"/>
  <c r="Z178" i="3"/>
  <c r="AB178" i="3" s="1"/>
  <c r="V178" i="3"/>
  <c r="X178" i="3" s="1"/>
  <c r="R178" i="3"/>
  <c r="N178" i="3"/>
  <c r="AK167" i="3"/>
  <c r="X167" i="3"/>
  <c r="P165" i="3"/>
  <c r="AO164" i="3"/>
  <c r="W164" i="3"/>
  <c r="R164" i="3"/>
  <c r="T164" i="3" s="1"/>
  <c r="G164" i="3"/>
  <c r="AV163" i="3"/>
  <c r="L163" i="3"/>
  <c r="M163" i="3"/>
  <c r="AV161" i="3"/>
  <c r="AW161" i="3"/>
  <c r="X161" i="3"/>
  <c r="H161" i="3"/>
  <c r="AV160" i="3"/>
  <c r="D160" i="3"/>
  <c r="AX160" i="3"/>
  <c r="AZ160" i="3" s="1"/>
  <c r="AV153" i="3"/>
  <c r="AM156" i="3"/>
  <c r="AO153" i="3"/>
  <c r="AE156" i="3"/>
  <c r="AG153" i="3"/>
  <c r="Y153" i="3"/>
  <c r="Q153" i="3"/>
  <c r="I153" i="3"/>
  <c r="Y152" i="3"/>
  <c r="W156" i="3"/>
  <c r="P152" i="3"/>
  <c r="Q151" i="3"/>
  <c r="O156" i="3"/>
  <c r="H151" i="3"/>
  <c r="AH145" i="3"/>
  <c r="AJ145" i="3" s="1"/>
  <c r="Z145" i="3"/>
  <c r="AB145" i="3" s="1"/>
  <c r="J145" i="3"/>
  <c r="L145" i="3" s="1"/>
  <c r="B145" i="3"/>
  <c r="AZ143" i="3"/>
  <c r="AX141" i="3"/>
  <c r="AZ141" i="3" s="1"/>
  <c r="AQ140" i="3"/>
  <c r="AJ140" i="3"/>
  <c r="AE140" i="3"/>
  <c r="AB139" i="3"/>
  <c r="AC139" i="3"/>
  <c r="AV137" i="3"/>
  <c r="AW137" i="3"/>
  <c r="P135" i="3"/>
  <c r="BA135" i="3"/>
  <c r="Q135" i="3"/>
  <c r="H135" i="3"/>
  <c r="F140" i="3"/>
  <c r="I135" i="3"/>
  <c r="AF134" i="3"/>
  <c r="AG134" i="3"/>
  <c r="Z129" i="3"/>
  <c r="AB129" i="3" s="1"/>
  <c r="AJ128" i="3"/>
  <c r="AK128" i="3"/>
  <c r="AJ127" i="3"/>
  <c r="AI129" i="3"/>
  <c r="AK129" i="3" s="1"/>
  <c r="AK127" i="3"/>
  <c r="AX119" i="3"/>
  <c r="AZ119" i="3" s="1"/>
  <c r="T117" i="3"/>
  <c r="AX116" i="3"/>
  <c r="AZ116" i="3" s="1"/>
  <c r="D115" i="3"/>
  <c r="E115" i="3"/>
  <c r="C117" i="3"/>
  <c r="Z113" i="3"/>
  <c r="AB113" i="3" s="1"/>
  <c r="AX110" i="3"/>
  <c r="AZ110" i="3" s="1"/>
  <c r="T106" i="3"/>
  <c r="AJ97" i="3"/>
  <c r="AB97" i="3"/>
  <c r="AM130" i="3"/>
  <c r="AO96" i="3"/>
  <c r="AG96" i="3"/>
  <c r="Y96" i="3"/>
  <c r="Q96" i="3"/>
  <c r="P93" i="3"/>
  <c r="Q93" i="3"/>
  <c r="BA195" i="3"/>
  <c r="BA190" i="3"/>
  <c r="AM185" i="3"/>
  <c r="AO185" i="3" s="1"/>
  <c r="AI185" i="3"/>
  <c r="AK185" i="3" s="1"/>
  <c r="AE185" i="3"/>
  <c r="AG185" i="3" s="1"/>
  <c r="BA165" i="3"/>
  <c r="V164" i="3"/>
  <c r="F164" i="3"/>
  <c r="D162" i="3"/>
  <c r="AX162" i="3"/>
  <c r="AG160" i="3"/>
  <c r="Q160" i="3"/>
  <c r="AR156" i="3"/>
  <c r="AB156" i="3"/>
  <c r="AC152" i="3"/>
  <c r="AA156" i="3"/>
  <c r="S156" i="3"/>
  <c r="U152" i="3"/>
  <c r="L152" i="3"/>
  <c r="M152" i="3"/>
  <c r="AS151" i="3"/>
  <c r="K156" i="3"/>
  <c r="M151" i="3"/>
  <c r="BA151" i="3"/>
  <c r="C156" i="3"/>
  <c r="E151" i="3"/>
  <c r="AR142" i="3"/>
  <c r="AX142" i="3"/>
  <c r="AZ142" i="3" s="1"/>
  <c r="Y140" i="3"/>
  <c r="L139" i="3"/>
  <c r="M139" i="3"/>
  <c r="AN133" i="3"/>
  <c r="AX133" i="3"/>
  <c r="AZ133" i="3" s="1"/>
  <c r="AN132" i="3"/>
  <c r="AO132" i="3"/>
  <c r="AF132" i="3"/>
  <c r="AG132" i="3"/>
  <c r="X132" i="3"/>
  <c r="Y132" i="3"/>
  <c r="P132" i="3"/>
  <c r="Q132" i="3"/>
  <c r="H132" i="3"/>
  <c r="I132" i="3"/>
  <c r="AJ129" i="3"/>
  <c r="X129" i="3"/>
  <c r="T128" i="3"/>
  <c r="U128" i="3"/>
  <c r="AS129" i="3"/>
  <c r="T124" i="3"/>
  <c r="AX124" i="3"/>
  <c r="AZ124" i="3" s="1"/>
  <c r="AX112" i="3"/>
  <c r="AZ112" i="3" s="1"/>
  <c r="AT106" i="3"/>
  <c r="AX105" i="3"/>
  <c r="AR105" i="3"/>
  <c r="AS105" i="3"/>
  <c r="Y106" i="3"/>
  <c r="AS106" i="3"/>
  <c r="AO106" i="3"/>
  <c r="X102" i="3"/>
  <c r="Y102" i="3"/>
  <c r="AZ99" i="3"/>
  <c r="X97" i="3"/>
  <c r="Y97" i="3"/>
  <c r="I95" i="3"/>
  <c r="G130" i="3"/>
  <c r="U93" i="3"/>
  <c r="AJ86" i="3"/>
  <c r="AH90" i="3"/>
  <c r="BA79" i="3"/>
  <c r="AZ79" i="3"/>
  <c r="L53" i="3"/>
  <c r="M53" i="3"/>
  <c r="AF52" i="3"/>
  <c r="AD56" i="3"/>
  <c r="AJ93" i="3"/>
  <c r="T93" i="3"/>
  <c r="D93" i="3"/>
  <c r="AX93" i="3"/>
  <c r="L90" i="3"/>
  <c r="AO81" i="3"/>
  <c r="AN81" i="3"/>
  <c r="AM90" i="3"/>
  <c r="AO90" i="3" s="1"/>
  <c r="I81" i="3"/>
  <c r="H81" i="3"/>
  <c r="G90" i="3"/>
  <c r="L80" i="3"/>
  <c r="M80" i="3"/>
  <c r="K90" i="3"/>
  <c r="M90" i="3" s="1"/>
  <c r="AS78" i="3"/>
  <c r="AR78" i="3"/>
  <c r="U78" i="3"/>
  <c r="T78" i="3"/>
  <c r="Y69" i="3"/>
  <c r="X69" i="3"/>
  <c r="R140" i="3"/>
  <c r="T140" i="3" s="1"/>
  <c r="AX138" i="3"/>
  <c r="BA134" i="3"/>
  <c r="AQ117" i="3"/>
  <c r="AS117" i="3" s="1"/>
  <c r="W117" i="3"/>
  <c r="G117" i="3"/>
  <c r="I117" i="3" s="1"/>
  <c r="AN93" i="3"/>
  <c r="X93" i="3"/>
  <c r="H93" i="3"/>
  <c r="AJ87" i="3"/>
  <c r="AX87" i="3"/>
  <c r="AZ87" i="3" s="1"/>
  <c r="P86" i="3"/>
  <c r="N90" i="3"/>
  <c r="AZ81" i="3"/>
  <c r="AO69" i="3"/>
  <c r="AN69" i="3"/>
  <c r="P64" i="3"/>
  <c r="AX64" i="3"/>
  <c r="AZ64" i="3" s="1"/>
  <c r="AB56" i="3"/>
  <c r="BA40" i="3"/>
  <c r="AZ40" i="3"/>
  <c r="AS40" i="3"/>
  <c r="AR40" i="3"/>
  <c r="AQ56" i="3"/>
  <c r="AK40" i="3"/>
  <c r="AJ40" i="3"/>
  <c r="AI56" i="3"/>
  <c r="AC40" i="3"/>
  <c r="AB40" i="3"/>
  <c r="AA56" i="3"/>
  <c r="U40" i="3"/>
  <c r="T40" i="3"/>
  <c r="S56" i="3"/>
  <c r="M40" i="3"/>
  <c r="L40" i="3"/>
  <c r="K56" i="3"/>
  <c r="E40" i="3"/>
  <c r="D40" i="3"/>
  <c r="C56" i="3"/>
  <c r="D56" i="3" s="1"/>
  <c r="AM129" i="3"/>
  <c r="S129" i="3"/>
  <c r="U129" i="3" s="1"/>
  <c r="O129" i="3"/>
  <c r="Q129" i="3" s="1"/>
  <c r="K129" i="3"/>
  <c r="M129" i="3" s="1"/>
  <c r="G129" i="3"/>
  <c r="I129" i="3" s="1"/>
  <c r="C129" i="3"/>
  <c r="BA127" i="3"/>
  <c r="F117" i="3"/>
  <c r="AI106" i="3"/>
  <c r="AE106" i="3"/>
  <c r="AG106" i="3" s="1"/>
  <c r="S106" i="3"/>
  <c r="U106" i="3" s="1"/>
  <c r="C106" i="3"/>
  <c r="BA105" i="3"/>
  <c r="AX97" i="3"/>
  <c r="AZ97" i="3" s="1"/>
  <c r="AX96" i="3"/>
  <c r="AB93" i="3"/>
  <c r="L93" i="3"/>
  <c r="AS90" i="3"/>
  <c r="AN90" i="3"/>
  <c r="H90" i="3"/>
  <c r="Y81" i="3"/>
  <c r="X81" i="3"/>
  <c r="W90" i="3"/>
  <c r="Y90" i="3" s="1"/>
  <c r="AG78" i="3"/>
  <c r="AF78" i="3"/>
  <c r="I78" i="3"/>
  <c r="H78" i="3"/>
  <c r="AJ67" i="3"/>
  <c r="AK67" i="3"/>
  <c r="AI71" i="3"/>
  <c r="T67" i="3"/>
  <c r="U67" i="3"/>
  <c r="S71" i="3"/>
  <c r="D67" i="3"/>
  <c r="BA67" i="3"/>
  <c r="E67" i="3"/>
  <c r="C71" i="3"/>
  <c r="W66" i="3"/>
  <c r="Y66" i="3" s="1"/>
  <c r="Y62" i="3"/>
  <c r="H62" i="3"/>
  <c r="BA62" i="3"/>
  <c r="G66" i="3"/>
  <c r="I62" i="3"/>
  <c r="AR56" i="3"/>
  <c r="BA53" i="3"/>
  <c r="M47" i="3"/>
  <c r="L47" i="3"/>
  <c r="AX84" i="3"/>
  <c r="AZ84" i="3" s="1"/>
  <c r="AX82" i="3"/>
  <c r="AZ82" i="3" s="1"/>
  <c r="AV73" i="3"/>
  <c r="AW73" i="3"/>
  <c r="AJ69" i="3"/>
  <c r="AK69" i="3"/>
  <c r="U69" i="3"/>
  <c r="F71" i="3"/>
  <c r="H69" i="3"/>
  <c r="E66" i="3"/>
  <c r="L65" i="3"/>
  <c r="AX62" i="3"/>
  <c r="AO62" i="3"/>
  <c r="AM66" i="3"/>
  <c r="AO66" i="3" s="1"/>
  <c r="AF62" i="3"/>
  <c r="X62" i="3"/>
  <c r="P62" i="3"/>
  <c r="E62" i="3"/>
  <c r="AR59" i="3"/>
  <c r="AS59" i="3"/>
  <c r="AB59" i="3"/>
  <c r="AA66" i="3"/>
  <c r="AC66" i="3" s="1"/>
  <c r="AC59" i="3"/>
  <c r="L59" i="3"/>
  <c r="K66" i="3"/>
  <c r="M66" i="3" s="1"/>
  <c r="M59" i="3"/>
  <c r="X56" i="3"/>
  <c r="AG54" i="3"/>
  <c r="AF54" i="3"/>
  <c r="AJ51" i="3"/>
  <c r="AK51" i="3"/>
  <c r="AV48" i="3"/>
  <c r="AW48" i="3"/>
  <c r="AU56" i="3"/>
  <c r="BA48" i="3"/>
  <c r="AN48" i="3"/>
  <c r="AO48" i="3"/>
  <c r="AF48" i="3"/>
  <c r="AG48" i="3"/>
  <c r="X48" i="3"/>
  <c r="Y48" i="3"/>
  <c r="P48" i="3"/>
  <c r="Q48" i="3"/>
  <c r="H48" i="3"/>
  <c r="AX48" i="3"/>
  <c r="F56" i="3"/>
  <c r="I48" i="3"/>
  <c r="AC47" i="3"/>
  <c r="AB47" i="3"/>
  <c r="AB46" i="3"/>
  <c r="AC46" i="3"/>
  <c r="AS43" i="3"/>
  <c r="AR43" i="3"/>
  <c r="AQ28" i="3"/>
  <c r="AJ28" i="3"/>
  <c r="AX86" i="3"/>
  <c r="AZ86" i="3" s="1"/>
  <c r="AJ81" i="3"/>
  <c r="T81" i="3"/>
  <c r="AR80" i="3"/>
  <c r="AS80" i="3"/>
  <c r="P80" i="3"/>
  <c r="AX75" i="3"/>
  <c r="AZ75" i="3" s="1"/>
  <c r="AL78" i="3"/>
  <c r="AN78" i="3" s="1"/>
  <c r="P74" i="3"/>
  <c r="N78" i="3"/>
  <c r="P78" i="3" s="1"/>
  <c r="AX74" i="3"/>
  <c r="AZ74" i="3" s="1"/>
  <c r="B78" i="3"/>
  <c r="T69" i="3"/>
  <c r="R71" i="3"/>
  <c r="T71" i="3" s="1"/>
  <c r="J71" i="3"/>
  <c r="L69" i="3"/>
  <c r="AR68" i="3"/>
  <c r="AX68" i="3"/>
  <c r="AZ68" i="3" s="1"/>
  <c r="AP71" i="3"/>
  <c r="AB66" i="3"/>
  <c r="X65" i="3"/>
  <c r="Y65" i="3"/>
  <c r="AI66" i="3"/>
  <c r="AK66" i="3" s="1"/>
  <c r="AK62" i="3"/>
  <c r="S66" i="3"/>
  <c r="U66" i="3" s="1"/>
  <c r="U62" i="3"/>
  <c r="AF60" i="3"/>
  <c r="AX60" i="3"/>
  <c r="AZ60" i="3" s="1"/>
  <c r="AR58" i="3"/>
  <c r="AQ66" i="3"/>
  <c r="AS66" i="3" s="1"/>
  <c r="AS58" i="3"/>
  <c r="AJ58" i="3"/>
  <c r="AK58" i="3"/>
  <c r="AB58" i="3"/>
  <c r="AC58" i="3"/>
  <c r="T58" i="3"/>
  <c r="U58" i="3"/>
  <c r="L58" i="3"/>
  <c r="M58" i="3"/>
  <c r="D58" i="3"/>
  <c r="AX58" i="3"/>
  <c r="AZ58" i="3" s="1"/>
  <c r="E58" i="3"/>
  <c r="T56" i="3"/>
  <c r="L54" i="3"/>
  <c r="M54" i="3"/>
  <c r="Y53" i="3"/>
  <c r="X53" i="3"/>
  <c r="AS47" i="3"/>
  <c r="AR47" i="3"/>
  <c r="E81" i="3"/>
  <c r="BA81" i="3"/>
  <c r="AB80" i="3"/>
  <c r="AC80" i="3"/>
  <c r="AO78" i="3"/>
  <c r="E78" i="3"/>
  <c r="AB74" i="3"/>
  <c r="Z78" i="3"/>
  <c r="BA73" i="3"/>
  <c r="P69" i="3"/>
  <c r="BA69" i="3"/>
  <c r="Q69" i="3"/>
  <c r="O71" i="3"/>
  <c r="AO67" i="3"/>
  <c r="AM71" i="3"/>
  <c r="Y67" i="3"/>
  <c r="W71" i="3"/>
  <c r="I67" i="3"/>
  <c r="G71" i="3"/>
  <c r="I71" i="3" s="1"/>
  <c r="H65" i="3"/>
  <c r="BA65" i="3"/>
  <c r="I65" i="3"/>
  <c r="D63" i="3"/>
  <c r="AX63" i="3"/>
  <c r="AZ63" i="3" s="1"/>
  <c r="AJ62" i="3"/>
  <c r="AB62" i="3"/>
  <c r="T62" i="3"/>
  <c r="L62" i="3"/>
  <c r="P56" i="3"/>
  <c r="T54" i="3"/>
  <c r="U54" i="3"/>
  <c r="D53" i="3"/>
  <c r="E53" i="3"/>
  <c r="U52" i="3"/>
  <c r="T52" i="3"/>
  <c r="AR48" i="3"/>
  <c r="AS48" i="3"/>
  <c r="AJ48" i="3"/>
  <c r="AK48" i="3"/>
  <c r="AB48" i="3"/>
  <c r="AC48" i="3"/>
  <c r="T48" i="3"/>
  <c r="U48" i="3"/>
  <c r="L48" i="3"/>
  <c r="M48" i="3"/>
  <c r="AR46" i="3"/>
  <c r="AS46" i="3"/>
  <c r="L46" i="3"/>
  <c r="J56" i="3"/>
  <c r="M46" i="3"/>
  <c r="I37" i="3"/>
  <c r="H37" i="3"/>
  <c r="G56" i="3"/>
  <c r="AK27" i="3"/>
  <c r="AI28" i="3"/>
  <c r="AC27" i="3"/>
  <c r="AA28" i="3"/>
  <c r="U27" i="3"/>
  <c r="S28" i="3"/>
  <c r="U28" i="3" s="1"/>
  <c r="M27" i="3"/>
  <c r="K28" i="3"/>
  <c r="D27" i="3"/>
  <c r="E27" i="3"/>
  <c r="C28" i="3"/>
  <c r="H52" i="3"/>
  <c r="H51" i="3"/>
  <c r="Y43" i="3"/>
  <c r="X43" i="3"/>
  <c r="Q43" i="3"/>
  <c r="P43" i="3"/>
  <c r="I43" i="3"/>
  <c r="H43" i="3"/>
  <c r="AO41" i="3"/>
  <c r="AN41" i="3"/>
  <c r="AG41" i="3"/>
  <c r="AF41" i="3"/>
  <c r="Y41" i="3"/>
  <c r="X41" i="3"/>
  <c r="Q41" i="3"/>
  <c r="P41" i="3"/>
  <c r="Y37" i="3"/>
  <c r="X37" i="3"/>
  <c r="AT34" i="3"/>
  <c r="AD34" i="3"/>
  <c r="AS24" i="3"/>
  <c r="AQ30" i="3"/>
  <c r="AO19" i="3"/>
  <c r="AN19" i="3"/>
  <c r="G24" i="3"/>
  <c r="AB13" i="3"/>
  <c r="AJ11" i="3"/>
  <c r="AH13" i="3"/>
  <c r="BA54" i="3"/>
  <c r="AO53" i="3"/>
  <c r="L52" i="3"/>
  <c r="E47" i="3"/>
  <c r="D46" i="3"/>
  <c r="AX46" i="3"/>
  <c r="AZ46" i="3" s="1"/>
  <c r="AN43" i="3"/>
  <c r="AX43" i="3"/>
  <c r="AZ43" i="3" s="1"/>
  <c r="AW42" i="3"/>
  <c r="AV42" i="3"/>
  <c r="AW40" i="3"/>
  <c r="AV40" i="3"/>
  <c r="AO40" i="3"/>
  <c r="AN40" i="3"/>
  <c r="AG40" i="3"/>
  <c r="AF40" i="3"/>
  <c r="Y40" i="3"/>
  <c r="X40" i="3"/>
  <c r="Q40" i="3"/>
  <c r="P40" i="3"/>
  <c r="I40" i="3"/>
  <c r="H40" i="3"/>
  <c r="AO37" i="3"/>
  <c r="AN37" i="3"/>
  <c r="AG28" i="3"/>
  <c r="AE30" i="3"/>
  <c r="E23" i="3"/>
  <c r="AN22" i="3"/>
  <c r="AO22" i="3"/>
  <c r="AU66" i="3"/>
  <c r="AW66" i="3" s="1"/>
  <c r="AE66" i="3"/>
  <c r="O66" i="3"/>
  <c r="Q66" i="3" s="1"/>
  <c r="AM56" i="3"/>
  <c r="AN56" i="3" s="1"/>
  <c r="AE56" i="3"/>
  <c r="W56" i="3"/>
  <c r="O56" i="3"/>
  <c r="AX52" i="3"/>
  <c r="AG52" i="3"/>
  <c r="P52" i="3"/>
  <c r="D52" i="3"/>
  <c r="BA52" i="3"/>
  <c r="AX49" i="3"/>
  <c r="AZ49" i="3" s="1"/>
  <c r="AG46" i="3"/>
  <c r="Q46" i="3"/>
  <c r="BA45" i="3"/>
  <c r="U43" i="3"/>
  <c r="T43" i="3"/>
  <c r="M43" i="3"/>
  <c r="L43" i="3"/>
  <c r="E43" i="3"/>
  <c r="D43" i="3"/>
  <c r="AZ41" i="3"/>
  <c r="AK41" i="3"/>
  <c r="AJ41" i="3"/>
  <c r="AC41" i="3"/>
  <c r="AB41" i="3"/>
  <c r="U41" i="3"/>
  <c r="T41" i="3"/>
  <c r="Q39" i="3"/>
  <c r="P39" i="3"/>
  <c r="BA39" i="3"/>
  <c r="AW38" i="3"/>
  <c r="AV38" i="3"/>
  <c r="O30" i="3"/>
  <c r="AA24" i="3"/>
  <c r="U14" i="3"/>
  <c r="T14" i="3"/>
  <c r="AO28" i="3"/>
  <c r="Y28" i="3"/>
  <c r="P27" i="3"/>
  <c r="N28" i="3"/>
  <c r="P28" i="3" s="1"/>
  <c r="H27" i="3"/>
  <c r="AX27" i="3"/>
  <c r="AZ27" i="3" s="1"/>
  <c r="F28" i="3"/>
  <c r="H26" i="3"/>
  <c r="I26" i="3"/>
  <c r="AZ25" i="3"/>
  <c r="BA25" i="3"/>
  <c r="AF24" i="3"/>
  <c r="AG24" i="3"/>
  <c r="K24" i="3"/>
  <c r="AO21" i="3"/>
  <c r="AM23" i="3"/>
  <c r="I21" i="3"/>
  <c r="G23" i="3"/>
  <c r="D19" i="3"/>
  <c r="E19" i="3"/>
  <c r="C24" i="3"/>
  <c r="P16" i="3"/>
  <c r="AX16" i="3"/>
  <c r="AZ16" i="3" s="1"/>
  <c r="AR13" i="3"/>
  <c r="AP24" i="3"/>
  <c r="AK43" i="3"/>
  <c r="AX42" i="3"/>
  <c r="AZ42" i="3" s="1"/>
  <c r="AS42" i="3"/>
  <c r="M41" i="3"/>
  <c r="AW39" i="3"/>
  <c r="M39" i="3"/>
  <c r="AX38" i="3"/>
  <c r="AZ38" i="3" s="1"/>
  <c r="AS38" i="3"/>
  <c r="AK37" i="3"/>
  <c r="U37" i="3"/>
  <c r="E37" i="3"/>
  <c r="AU28" i="3"/>
  <c r="AR27" i="3"/>
  <c r="AJ27" i="3"/>
  <c r="AB27" i="3"/>
  <c r="T27" i="3"/>
  <c r="R28" i="3"/>
  <c r="L27" i="3"/>
  <c r="J28" i="3"/>
  <c r="L28" i="3" s="1"/>
  <c r="AB26" i="3"/>
  <c r="AC26" i="3"/>
  <c r="L26" i="3"/>
  <c r="M26" i="3"/>
  <c r="D26" i="3"/>
  <c r="E26" i="3"/>
  <c r="BA26" i="3"/>
  <c r="AF23" i="3"/>
  <c r="AG23" i="3"/>
  <c r="AV22" i="3"/>
  <c r="AW22" i="3"/>
  <c r="AU23" i="3"/>
  <c r="Y21" i="3"/>
  <c r="W23" i="3"/>
  <c r="U19" i="3"/>
  <c r="AN15" i="3"/>
  <c r="AX15" i="3"/>
  <c r="AZ15" i="3" s="1"/>
  <c r="AL24" i="3"/>
  <c r="AX44" i="3"/>
  <c r="AZ44" i="3" s="1"/>
  <c r="BA41" i="3"/>
  <c r="BA37" i="3"/>
  <c r="AV27" i="3"/>
  <c r="AO27" i="3"/>
  <c r="AG27" i="3"/>
  <c r="Y27" i="3"/>
  <c r="Q27" i="3"/>
  <c r="I27" i="3"/>
  <c r="AB22" i="3"/>
  <c r="AC22" i="3"/>
  <c r="AB19" i="3"/>
  <c r="AC19" i="3"/>
  <c r="H14" i="3"/>
  <c r="I14" i="3"/>
  <c r="L13" i="3"/>
  <c r="Y26" i="3"/>
  <c r="AN21" i="3"/>
  <c r="X21" i="3"/>
  <c r="H21" i="3"/>
  <c r="T19" i="3"/>
  <c r="D17" i="3"/>
  <c r="AJ14" i="3"/>
  <c r="AX12" i="3"/>
  <c r="AZ12" i="3" s="1"/>
  <c r="T11" i="3"/>
  <c r="AX11" i="3"/>
  <c r="AZ11" i="3" s="1"/>
  <c r="AZ9" i="3"/>
  <c r="S23" i="3"/>
  <c r="U23" i="3" s="1"/>
  <c r="BA22" i="3"/>
  <c r="Y22" i="3"/>
  <c r="AX22" i="3"/>
  <c r="E22" i="3"/>
  <c r="AR21" i="3"/>
  <c r="AB21" i="3"/>
  <c r="L21" i="3"/>
  <c r="H19" i="3"/>
  <c r="U17" i="3"/>
  <c r="AN14" i="3"/>
  <c r="E14" i="3"/>
  <c r="R24" i="3"/>
  <c r="B24" i="3"/>
  <c r="AH23" i="3"/>
  <c r="AK22" i="3"/>
  <c r="H20" i="3"/>
  <c r="AX20" i="3"/>
  <c r="AZ20" i="3" s="1"/>
  <c r="AK19" i="3"/>
  <c r="AX19" i="3"/>
  <c r="AZ19" i="3" s="1"/>
  <c r="Q14" i="3"/>
  <c r="AX14" i="3"/>
  <c r="AZ14" i="3" s="1"/>
  <c r="P13" i="3"/>
  <c r="F24" i="3"/>
  <c r="X10" i="3"/>
  <c r="AX10" i="3"/>
  <c r="AZ10" i="3" s="1"/>
  <c r="AX8" i="3"/>
  <c r="AZ8" i="3" s="1"/>
  <c r="Z23" i="3"/>
  <c r="AB23" i="3" s="1"/>
  <c r="V23" i="3"/>
  <c r="X23" i="3" s="1"/>
  <c r="R23" i="3"/>
  <c r="N23" i="3"/>
  <c r="J23" i="3"/>
  <c r="L23" i="3" s="1"/>
  <c r="F23" i="3"/>
  <c r="H23" i="3" s="1"/>
  <c r="B23" i="3"/>
  <c r="B56" i="1"/>
  <c r="B57" i="1" s="1"/>
  <c r="B64" i="1" s="1"/>
  <c r="B171" i="4" l="1"/>
  <c r="K30" i="4"/>
  <c r="K34" i="4" s="1"/>
  <c r="J130" i="4"/>
  <c r="G145" i="4"/>
  <c r="B30" i="4"/>
  <c r="H24" i="4"/>
  <c r="D130" i="4"/>
  <c r="F24" i="4"/>
  <c r="G171" i="4"/>
  <c r="E171" i="4"/>
  <c r="H171" i="4"/>
  <c r="K130" i="4"/>
  <c r="H130" i="4"/>
  <c r="C24" i="4"/>
  <c r="E30" i="4"/>
  <c r="D30" i="4"/>
  <c r="I130" i="4"/>
  <c r="F171" i="4"/>
  <c r="C130" i="4"/>
  <c r="J171" i="4"/>
  <c r="E130" i="4"/>
  <c r="I145" i="4"/>
  <c r="K171" i="4"/>
  <c r="B130" i="4"/>
  <c r="F130" i="4"/>
  <c r="G130" i="4"/>
  <c r="G24" i="4"/>
  <c r="D171" i="4"/>
  <c r="J24" i="4"/>
  <c r="C171" i="4"/>
  <c r="I171" i="4"/>
  <c r="BA17" i="3"/>
  <c r="AZ17" i="3"/>
  <c r="E28" i="3"/>
  <c r="D28" i="3"/>
  <c r="AN71" i="3"/>
  <c r="AO71" i="3"/>
  <c r="AZ54" i="3"/>
  <c r="U71" i="3"/>
  <c r="E106" i="3"/>
  <c r="AX117" i="3"/>
  <c r="H117" i="3"/>
  <c r="AK56" i="3"/>
  <c r="X117" i="3"/>
  <c r="Y117" i="3"/>
  <c r="AV106" i="3"/>
  <c r="AW106" i="3"/>
  <c r="AT130" i="3"/>
  <c r="C171" i="3"/>
  <c r="E156" i="3"/>
  <c r="S171" i="3"/>
  <c r="U156" i="3"/>
  <c r="AZ162" i="3"/>
  <c r="AG140" i="3"/>
  <c r="AE145" i="3"/>
  <c r="AF140" i="3"/>
  <c r="AE171" i="3"/>
  <c r="AE187" i="3" s="1"/>
  <c r="AG156" i="3"/>
  <c r="Y164" i="3"/>
  <c r="C130" i="3"/>
  <c r="AC140" i="3"/>
  <c r="AF156" i="3"/>
  <c r="AA130" i="3"/>
  <c r="I145" i="3"/>
  <c r="I193" i="3"/>
  <c r="H193" i="3"/>
  <c r="AX106" i="3"/>
  <c r="AZ106" i="3" s="1"/>
  <c r="AB106" i="3"/>
  <c r="L156" i="3"/>
  <c r="J171" i="3"/>
  <c r="AB164" i="3"/>
  <c r="Z171" i="3"/>
  <c r="AN185" i="3"/>
  <c r="AJ106" i="3"/>
  <c r="AH130" i="3"/>
  <c r="AJ130" i="3" s="1"/>
  <c r="AC129" i="3"/>
  <c r="AX129" i="3"/>
  <c r="AP145" i="3"/>
  <c r="AR140" i="3"/>
  <c r="M178" i="3"/>
  <c r="L178" i="3"/>
  <c r="X66" i="3"/>
  <c r="T66" i="3"/>
  <c r="AZ134" i="3"/>
  <c r="AC164" i="3"/>
  <c r="AW23" i="3"/>
  <c r="AU24" i="3"/>
  <c r="AV23" i="3"/>
  <c r="AO23" i="3"/>
  <c r="AN23" i="3"/>
  <c r="AM24" i="3"/>
  <c r="AZ47" i="3"/>
  <c r="BA47" i="3"/>
  <c r="AQ34" i="3"/>
  <c r="AZ51" i="3"/>
  <c r="BA51" i="3"/>
  <c r="L56" i="3"/>
  <c r="J187" i="3"/>
  <c r="BA80" i="3"/>
  <c r="AZ80" i="3"/>
  <c r="K171" i="3"/>
  <c r="M171" i="3" s="1"/>
  <c r="M156" i="3"/>
  <c r="X164" i="3"/>
  <c r="V171" i="3"/>
  <c r="W130" i="3"/>
  <c r="AZ115" i="3"/>
  <c r="BA115" i="3"/>
  <c r="AX140" i="3"/>
  <c r="AZ140" i="3" s="1"/>
  <c r="H140" i="3"/>
  <c r="F145" i="3"/>
  <c r="H145" i="3" s="1"/>
  <c r="R145" i="3"/>
  <c r="O171" i="3"/>
  <c r="Q171" i="3" s="1"/>
  <c r="Q156" i="3"/>
  <c r="U164" i="3"/>
  <c r="AU171" i="3"/>
  <c r="AW156" i="3"/>
  <c r="Z130" i="3"/>
  <c r="AB130" i="3" s="1"/>
  <c r="AX164" i="3"/>
  <c r="AX178" i="3"/>
  <c r="AZ178" i="3" s="1"/>
  <c r="D178" i="3"/>
  <c r="AI171" i="3"/>
  <c r="AK156" i="3"/>
  <c r="AN117" i="3"/>
  <c r="AO117" i="3"/>
  <c r="Q23" i="3"/>
  <c r="P23" i="3"/>
  <c r="R30" i="3"/>
  <c r="J24" i="3"/>
  <c r="M24" i="3" s="1"/>
  <c r="BA19" i="3"/>
  <c r="Q28" i="3"/>
  <c r="AZ52" i="3"/>
  <c r="BA38" i="3"/>
  <c r="I24" i="3"/>
  <c r="G30" i="3"/>
  <c r="BA42" i="3"/>
  <c r="AZ53" i="3"/>
  <c r="AX56" i="3"/>
  <c r="H56" i="3"/>
  <c r="AW56" i="3"/>
  <c r="AZ62" i="3"/>
  <c r="AX23" i="3"/>
  <c r="D23" i="3"/>
  <c r="T23" i="3"/>
  <c r="V24" i="3"/>
  <c r="AZ22" i="3"/>
  <c r="N24" i="3"/>
  <c r="BA14" i="3"/>
  <c r="AZ26" i="3"/>
  <c r="Y23" i="3"/>
  <c r="W24" i="3"/>
  <c r="T28" i="3"/>
  <c r="I23" i="3"/>
  <c r="K30" i="3"/>
  <c r="H28" i="3"/>
  <c r="AX28" i="3"/>
  <c r="AZ28" i="3" s="1"/>
  <c r="Q56" i="3"/>
  <c r="AZ37" i="3"/>
  <c r="BA46" i="3"/>
  <c r="AV56" i="3"/>
  <c r="Y71" i="3"/>
  <c r="X71" i="3"/>
  <c r="P71" i="3"/>
  <c r="Q71" i="3"/>
  <c r="Q78" i="3"/>
  <c r="AR66" i="3"/>
  <c r="AX78" i="3"/>
  <c r="AZ78" i="3" s="1"/>
  <c r="D78" i="3"/>
  <c r="AC23" i="3"/>
  <c r="AZ48" i="3"/>
  <c r="BA59" i="3"/>
  <c r="AZ59" i="3"/>
  <c r="AX71" i="3"/>
  <c r="AZ71" i="3" s="1"/>
  <c r="H71" i="3"/>
  <c r="AZ67" i="3"/>
  <c r="BA129" i="3"/>
  <c r="E129" i="3"/>
  <c r="U56" i="3"/>
  <c r="P90" i="3"/>
  <c r="AX90" i="3"/>
  <c r="Q90" i="3"/>
  <c r="X90" i="3"/>
  <c r="AZ94" i="3"/>
  <c r="AZ93" i="3"/>
  <c r="AF56" i="3"/>
  <c r="AD187" i="3"/>
  <c r="S130" i="3"/>
  <c r="U130" i="3" s="1"/>
  <c r="AZ95" i="3"/>
  <c r="AQ130" i="3"/>
  <c r="AS130" i="3" s="1"/>
  <c r="AZ105" i="3"/>
  <c r="AA171" i="3"/>
  <c r="AC171" i="3" s="1"/>
  <c r="AC156" i="3"/>
  <c r="O130" i="3"/>
  <c r="Q130" i="3" s="1"/>
  <c r="AE130" i="3"/>
  <c r="AG130" i="3" s="1"/>
  <c r="D145" i="3"/>
  <c r="P178" i="3"/>
  <c r="AW130" i="3"/>
  <c r="AZ127" i="3"/>
  <c r="BA132" i="3"/>
  <c r="E145" i="3"/>
  <c r="G171" i="3"/>
  <c r="I156" i="3"/>
  <c r="H156" i="3"/>
  <c r="AV156" i="3"/>
  <c r="AF130" i="3"/>
  <c r="BA97" i="3"/>
  <c r="BA160" i="3"/>
  <c r="L164" i="3"/>
  <c r="E178" i="3"/>
  <c r="AN193" i="3"/>
  <c r="AZ190" i="3"/>
  <c r="I140" i="3"/>
  <c r="AZ165" i="3"/>
  <c r="AC185" i="3"/>
  <c r="BA192" i="3"/>
  <c r="BA139" i="3"/>
  <c r="AZ139" i="3"/>
  <c r="D156" i="3"/>
  <c r="AX156" i="3"/>
  <c r="AZ156" i="3" s="1"/>
  <c r="B171" i="3"/>
  <c r="T156" i="3"/>
  <c r="R171" i="3"/>
  <c r="T171" i="3" s="1"/>
  <c r="E193" i="3"/>
  <c r="D193" i="3"/>
  <c r="U193" i="3"/>
  <c r="T193" i="3"/>
  <c r="D129" i="3"/>
  <c r="AZ135" i="3"/>
  <c r="AQ171" i="3"/>
  <c r="AS156" i="3"/>
  <c r="I178" i="3"/>
  <c r="AS193" i="3"/>
  <c r="AR193" i="3"/>
  <c r="AG193" i="3"/>
  <c r="I28" i="3"/>
  <c r="P66" i="3"/>
  <c r="N187" i="3"/>
  <c r="AN66" i="3"/>
  <c r="AF185" i="3"/>
  <c r="H24" i="3"/>
  <c r="F30" i="3"/>
  <c r="D24" i="3"/>
  <c r="B30" i="3"/>
  <c r="AN24" i="3"/>
  <c r="AL30" i="3"/>
  <c r="O34" i="3"/>
  <c r="AG56" i="3"/>
  <c r="AZ39" i="3"/>
  <c r="D71" i="3"/>
  <c r="E71" i="3"/>
  <c r="E56" i="3"/>
  <c r="BA56" i="3"/>
  <c r="AJ90" i="3"/>
  <c r="AH187" i="3"/>
  <c r="AK90" i="3"/>
  <c r="AO130" i="3"/>
  <c r="BA140" i="3"/>
  <c r="AN129" i="3"/>
  <c r="AL130" i="3"/>
  <c r="AN130" i="3" s="1"/>
  <c r="D130" i="3"/>
  <c r="U140" i="3"/>
  <c r="S145" i="3"/>
  <c r="U145" i="3" s="1"/>
  <c r="BA21" i="3"/>
  <c r="AZ21" i="3"/>
  <c r="AO56" i="3"/>
  <c r="AE34" i="3"/>
  <c r="AG30" i="3"/>
  <c r="AH24" i="3"/>
  <c r="AJ13" i="3"/>
  <c r="AK28" i="3"/>
  <c r="AI30" i="3"/>
  <c r="AJ66" i="3"/>
  <c r="AS28" i="3"/>
  <c r="AR28" i="3"/>
  <c r="AZ96" i="3"/>
  <c r="AC56" i="3"/>
  <c r="AA187" i="3"/>
  <c r="AK23" i="3"/>
  <c r="AJ23" i="3"/>
  <c r="AX13" i="3"/>
  <c r="AZ13" i="3" s="1"/>
  <c r="S24" i="3"/>
  <c r="T24" i="3" s="1"/>
  <c r="AW28" i="3"/>
  <c r="AV28" i="3"/>
  <c r="AR24" i="3"/>
  <c r="AP30" i="3"/>
  <c r="AS30" i="3" s="1"/>
  <c r="E24" i="3"/>
  <c r="C30" i="3"/>
  <c r="M23" i="3"/>
  <c r="AA30" i="3"/>
  <c r="BA43" i="3"/>
  <c r="Y56" i="3"/>
  <c r="AG66" i="3"/>
  <c r="BA23" i="3"/>
  <c r="Z24" i="3"/>
  <c r="AC24" i="3" s="1"/>
  <c r="AF30" i="3"/>
  <c r="BA27" i="3"/>
  <c r="M28" i="3"/>
  <c r="AC28" i="3"/>
  <c r="AB28" i="3"/>
  <c r="I56" i="3"/>
  <c r="G187" i="3"/>
  <c r="AB78" i="3"/>
  <c r="AC78" i="3"/>
  <c r="AJ56" i="3"/>
  <c r="BA58" i="3"/>
  <c r="L66" i="3"/>
  <c r="AR71" i="3"/>
  <c r="AS71" i="3"/>
  <c r="AP187" i="3"/>
  <c r="M71" i="3"/>
  <c r="L71" i="3"/>
  <c r="AZ65" i="3"/>
  <c r="I66" i="3"/>
  <c r="AJ71" i="3"/>
  <c r="AK71" i="3"/>
  <c r="AZ69" i="3"/>
  <c r="AK106" i="3"/>
  <c r="AO129" i="3"/>
  <c r="M56" i="3"/>
  <c r="AS56" i="3"/>
  <c r="AZ138" i="3"/>
  <c r="BA90" i="3"/>
  <c r="I90" i="3"/>
  <c r="AF106" i="3"/>
  <c r="H129" i="3"/>
  <c r="H164" i="3"/>
  <c r="F171" i="3"/>
  <c r="H171" i="3" s="1"/>
  <c r="D106" i="3"/>
  <c r="BA117" i="3"/>
  <c r="D117" i="3"/>
  <c r="E117" i="3"/>
  <c r="L129" i="3"/>
  <c r="AS140" i="3"/>
  <c r="AQ145" i="3"/>
  <c r="AS145" i="3" s="1"/>
  <c r="W171" i="3"/>
  <c r="Y171" i="3" s="1"/>
  <c r="Y156" i="3"/>
  <c r="AM171" i="3"/>
  <c r="AO156" i="3"/>
  <c r="I164" i="3"/>
  <c r="BA164" i="3"/>
  <c r="T178" i="3"/>
  <c r="AV66" i="3"/>
  <c r="AI130" i="3"/>
  <c r="AZ102" i="3"/>
  <c r="AR117" i="3"/>
  <c r="AC145" i="3"/>
  <c r="AZ153" i="3"/>
  <c r="P156" i="3"/>
  <c r="K130" i="3"/>
  <c r="M130" i="3" s="1"/>
  <c r="T130" i="3"/>
  <c r="P171" i="3"/>
  <c r="Y178" i="3"/>
  <c r="AK178" i="3"/>
  <c r="AJ185" i="3"/>
  <c r="BA184" i="3"/>
  <c r="AW140" i="3"/>
  <c r="AU145" i="3"/>
  <c r="AV140" i="3"/>
  <c r="AZ151" i="3"/>
  <c r="AN156" i="3"/>
  <c r="AL171" i="3"/>
  <c r="AN171" i="3" s="1"/>
  <c r="AZ191" i="3"/>
  <c r="BA191" i="3"/>
  <c r="H113" i="3"/>
  <c r="F130" i="3"/>
  <c r="H130" i="3" s="1"/>
  <c r="AX113" i="3"/>
  <c r="AZ113" i="3" s="1"/>
  <c r="T129" i="3"/>
  <c r="Q140" i="3"/>
  <c r="O145" i="3"/>
  <c r="P140" i="3"/>
  <c r="M145" i="3"/>
  <c r="AR164" i="3"/>
  <c r="AC178" i="3"/>
  <c r="AG178" i="3"/>
  <c r="T185" i="3"/>
  <c r="U185" i="3"/>
  <c r="AX185" i="3"/>
  <c r="AZ185" i="3" s="1"/>
  <c r="AJ193" i="3"/>
  <c r="H66" i="3"/>
  <c r="AX66" i="3"/>
  <c r="AZ66" i="3" s="1"/>
  <c r="X140" i="3"/>
  <c r="V145" i="3"/>
  <c r="AX145" i="3" s="1"/>
  <c r="AX193" i="3"/>
  <c r="AZ193" i="3" s="1"/>
  <c r="X193" i="3"/>
  <c r="B187" i="4" l="1"/>
  <c r="B196" i="4" s="1"/>
  <c r="J187" i="4"/>
  <c r="J196" i="4" s="1"/>
  <c r="G187" i="4"/>
  <c r="G196" i="4" s="1"/>
  <c r="F187" i="4"/>
  <c r="F196" i="4" s="1"/>
  <c r="I187" i="4"/>
  <c r="I196" i="4" s="1"/>
  <c r="D187" i="4"/>
  <c r="D196" i="4" s="1"/>
  <c r="G30" i="4"/>
  <c r="K187" i="4"/>
  <c r="C30" i="4"/>
  <c r="F30" i="4"/>
  <c r="H30" i="4"/>
  <c r="B34" i="4"/>
  <c r="E187" i="4"/>
  <c r="E34" i="4"/>
  <c r="J30" i="4"/>
  <c r="D34" i="4"/>
  <c r="C187" i="4"/>
  <c r="H187" i="4"/>
  <c r="AG187" i="3"/>
  <c r="AE196" i="3"/>
  <c r="AO171" i="3"/>
  <c r="AH196" i="3"/>
  <c r="K34" i="3"/>
  <c r="Y130" i="3"/>
  <c r="X130" i="3"/>
  <c r="BA78" i="3"/>
  <c r="BA106" i="3"/>
  <c r="AQ187" i="3"/>
  <c r="AR187" i="3" s="1"/>
  <c r="AA34" i="3"/>
  <c r="AI34" i="3"/>
  <c r="AX130" i="3"/>
  <c r="AZ130" i="3" s="1"/>
  <c r="AL34" i="3"/>
  <c r="AL187" i="3"/>
  <c r="AZ90" i="3"/>
  <c r="AZ23" i="3"/>
  <c r="F187" i="3"/>
  <c r="R34" i="3"/>
  <c r="X171" i="3"/>
  <c r="I130" i="3"/>
  <c r="J196" i="3"/>
  <c r="AO24" i="3"/>
  <c r="AM30" i="3"/>
  <c r="AV24" i="3"/>
  <c r="AW24" i="3"/>
  <c r="AU30" i="3"/>
  <c r="R187" i="3"/>
  <c r="AR145" i="3"/>
  <c r="L171" i="3"/>
  <c r="AR130" i="3"/>
  <c r="E130" i="3"/>
  <c r="BA156" i="3"/>
  <c r="AW145" i="3"/>
  <c r="AV145" i="3"/>
  <c r="C34" i="3"/>
  <c r="E30" i="3"/>
  <c r="AJ24" i="3"/>
  <c r="AH30" i="3"/>
  <c r="AK30" i="3" s="1"/>
  <c r="AK24" i="3"/>
  <c r="Y24" i="3"/>
  <c r="W30" i="3"/>
  <c r="J30" i="3"/>
  <c r="L24" i="3"/>
  <c r="AK171" i="3"/>
  <c r="AJ171" i="3"/>
  <c r="E171" i="3"/>
  <c r="AK130" i="3"/>
  <c r="Z187" i="3"/>
  <c r="W187" i="3"/>
  <c r="AG34" i="3"/>
  <c r="AE197" i="3"/>
  <c r="C187" i="3"/>
  <c r="H30" i="3"/>
  <c r="F34" i="3"/>
  <c r="P130" i="3"/>
  <c r="BA193" i="3"/>
  <c r="D171" i="3"/>
  <c r="AX171" i="3"/>
  <c r="AZ171" i="3" s="1"/>
  <c r="BA185" i="3"/>
  <c r="B187" i="3"/>
  <c r="X24" i="3"/>
  <c r="V30" i="3"/>
  <c r="G34" i="3"/>
  <c r="I30" i="3"/>
  <c r="AW171" i="3"/>
  <c r="AV171" i="3"/>
  <c r="T145" i="3"/>
  <c r="BA178" i="3"/>
  <c r="AZ129" i="3"/>
  <c r="AC130" i="3"/>
  <c r="AG145" i="3"/>
  <c r="AF145" i="3"/>
  <c r="U171" i="3"/>
  <c r="AV130" i="3"/>
  <c r="AT187" i="3"/>
  <c r="AZ117" i="3"/>
  <c r="BA28" i="3"/>
  <c r="Q145" i="3"/>
  <c r="P145" i="3"/>
  <c r="I187" i="3"/>
  <c r="G196" i="3"/>
  <c r="AX24" i="3"/>
  <c r="AZ24" i="3" s="1"/>
  <c r="O187" i="3"/>
  <c r="P24" i="3"/>
  <c r="N30" i="3"/>
  <c r="Q24" i="3"/>
  <c r="AG171" i="3"/>
  <c r="AF171" i="3"/>
  <c r="X145" i="3"/>
  <c r="Y145" i="3"/>
  <c r="K187" i="3"/>
  <c r="BA66" i="3"/>
  <c r="AP196" i="3"/>
  <c r="AB24" i="3"/>
  <c r="Z30" i="3"/>
  <c r="AR30" i="3"/>
  <c r="AP34" i="3"/>
  <c r="U24" i="3"/>
  <c r="S30" i="3"/>
  <c r="AC187" i="3"/>
  <c r="AA196" i="3"/>
  <c r="AM187" i="3"/>
  <c r="BA71" i="3"/>
  <c r="D30" i="3"/>
  <c r="B34" i="3"/>
  <c r="N196" i="3"/>
  <c r="AS171" i="3"/>
  <c r="AR171" i="3"/>
  <c r="L130" i="3"/>
  <c r="I171" i="3"/>
  <c r="AF187" i="3"/>
  <c r="AD196" i="3"/>
  <c r="S187" i="3"/>
  <c r="AF34" i="3"/>
  <c r="AU187" i="3"/>
  <c r="AZ56" i="3"/>
  <c r="AZ164" i="3"/>
  <c r="V187" i="3"/>
  <c r="AB171" i="3"/>
  <c r="BA145" i="3"/>
  <c r="AI187" i="3"/>
  <c r="H196" i="4" l="1"/>
  <c r="I197" i="4"/>
  <c r="J34" i="4"/>
  <c r="E196" i="4"/>
  <c r="B197" i="4"/>
  <c r="F34" i="4"/>
  <c r="C34" i="4"/>
  <c r="K196" i="4"/>
  <c r="C196" i="4"/>
  <c r="D197" i="4"/>
  <c r="H34" i="4"/>
  <c r="G34" i="4"/>
  <c r="AB30" i="3"/>
  <c r="Z34" i="3"/>
  <c r="X30" i="3"/>
  <c r="V34" i="3"/>
  <c r="AF196" i="3"/>
  <c r="AD197" i="3"/>
  <c r="AO187" i="3"/>
  <c r="AM196" i="3"/>
  <c r="AO196" i="3" s="1"/>
  <c r="M187" i="3"/>
  <c r="K196" i="3"/>
  <c r="M196" i="3" s="1"/>
  <c r="Y187" i="3"/>
  <c r="W196" i="3"/>
  <c r="L30" i="3"/>
  <c r="J34" i="3"/>
  <c r="E34" i="3"/>
  <c r="AL196" i="3"/>
  <c r="AN196" i="3" s="1"/>
  <c r="AN187" i="3"/>
  <c r="D34" i="3"/>
  <c r="AR34" i="3"/>
  <c r="AP197" i="3"/>
  <c r="AS34" i="3"/>
  <c r="AX187" i="3"/>
  <c r="AZ187" i="3" s="1"/>
  <c r="D187" i="3"/>
  <c r="B196" i="3"/>
  <c r="E187" i="3"/>
  <c r="C196" i="3"/>
  <c r="C197" i="3" s="1"/>
  <c r="Z196" i="3"/>
  <c r="AB196" i="3" s="1"/>
  <c r="AB187" i="3"/>
  <c r="W34" i="3"/>
  <c r="Y30" i="3"/>
  <c r="BA130" i="3"/>
  <c r="T187" i="3"/>
  <c r="R196" i="3"/>
  <c r="T196" i="3" s="1"/>
  <c r="AM34" i="3"/>
  <c r="AO30" i="3"/>
  <c r="F196" i="3"/>
  <c r="H196" i="3" s="1"/>
  <c r="H187" i="3"/>
  <c r="AN34" i="3"/>
  <c r="AL197" i="3"/>
  <c r="AI197" i="3"/>
  <c r="M30" i="3"/>
  <c r="AJ196" i="3"/>
  <c r="BA24" i="3"/>
  <c r="AK187" i="3"/>
  <c r="AI196" i="3"/>
  <c r="AK196" i="3" s="1"/>
  <c r="P196" i="3"/>
  <c r="S34" i="3"/>
  <c r="U30" i="3"/>
  <c r="H34" i="3"/>
  <c r="F197" i="3"/>
  <c r="AX30" i="3"/>
  <c r="Q187" i="3"/>
  <c r="O196" i="3"/>
  <c r="AV187" i="3"/>
  <c r="AT196" i="3"/>
  <c r="BA171" i="3"/>
  <c r="AJ30" i="3"/>
  <c r="AH34" i="3"/>
  <c r="L196" i="3"/>
  <c r="T30" i="3"/>
  <c r="AS187" i="3"/>
  <c r="AQ196" i="3"/>
  <c r="AZ145" i="3"/>
  <c r="AW187" i="3"/>
  <c r="AU196" i="3"/>
  <c r="AW196" i="3" s="1"/>
  <c r="V196" i="3"/>
  <c r="X196" i="3" s="1"/>
  <c r="X187" i="3"/>
  <c r="P187" i="3"/>
  <c r="P30" i="3"/>
  <c r="N34" i="3"/>
  <c r="Q30" i="3"/>
  <c r="I196" i="3"/>
  <c r="I34" i="3"/>
  <c r="G197" i="3"/>
  <c r="AE198" i="3"/>
  <c r="AG197" i="3"/>
  <c r="BA30" i="3"/>
  <c r="AU34" i="3"/>
  <c r="AW30" i="3"/>
  <c r="AV30" i="3"/>
  <c r="AN30" i="3"/>
  <c r="AC30" i="3"/>
  <c r="M34" i="3"/>
  <c r="K197" i="3"/>
  <c r="AJ187" i="3"/>
  <c r="AG196" i="3"/>
  <c r="U187" i="3"/>
  <c r="S196" i="3"/>
  <c r="L187" i="3"/>
  <c r="T34" i="3"/>
  <c r="R197" i="3"/>
  <c r="AC34" i="3"/>
  <c r="AA197" i="3"/>
  <c r="F197" i="4" l="1"/>
  <c r="K197" i="4"/>
  <c r="B198" i="4"/>
  <c r="E197" i="4"/>
  <c r="I198" i="4"/>
  <c r="G197" i="4"/>
  <c r="D198" i="4"/>
  <c r="J197" i="4"/>
  <c r="C197" i="4"/>
  <c r="H197" i="4"/>
  <c r="C198" i="3"/>
  <c r="AA198" i="3"/>
  <c r="AC197" i="3"/>
  <c r="AS196" i="3"/>
  <c r="AQ197" i="3"/>
  <c r="AJ34" i="3"/>
  <c r="AH197" i="3"/>
  <c r="AK197" i="3" s="1"/>
  <c r="H197" i="3"/>
  <c r="F198" i="3"/>
  <c r="AL198" i="3"/>
  <c r="D196" i="3"/>
  <c r="AX196" i="3"/>
  <c r="AR197" i="3"/>
  <c r="AP198" i="3"/>
  <c r="AX34" i="3"/>
  <c r="U196" i="3"/>
  <c r="K198" i="3"/>
  <c r="M197" i="3"/>
  <c r="AR196" i="3"/>
  <c r="Q196" i="3"/>
  <c r="O197" i="3"/>
  <c r="AO34" i="3"/>
  <c r="AM197" i="3"/>
  <c r="AN197" i="3" s="1"/>
  <c r="BA187" i="3"/>
  <c r="Y196" i="3"/>
  <c r="X34" i="3"/>
  <c r="V197" i="3"/>
  <c r="R198" i="3"/>
  <c r="AG198" i="3"/>
  <c r="AI198" i="3"/>
  <c r="Y34" i="3"/>
  <c r="W197" i="3"/>
  <c r="BA196" i="3"/>
  <c r="E196" i="3"/>
  <c r="AC196" i="3"/>
  <c r="BA34" i="3"/>
  <c r="AW34" i="3"/>
  <c r="AU197" i="3"/>
  <c r="AV34" i="3"/>
  <c r="G198" i="3"/>
  <c r="I198" i="3" s="1"/>
  <c r="I197" i="3"/>
  <c r="P34" i="3"/>
  <c r="N197" i="3"/>
  <c r="Q34" i="3"/>
  <c r="AV196" i="3"/>
  <c r="AT197" i="3"/>
  <c r="AZ30" i="3"/>
  <c r="U34" i="3"/>
  <c r="S197" i="3"/>
  <c r="T197" i="3" s="1"/>
  <c r="AK34" i="3"/>
  <c r="B197" i="3"/>
  <c r="L34" i="3"/>
  <c r="J197" i="3"/>
  <c r="AF197" i="3"/>
  <c r="AD198" i="3"/>
  <c r="AF198" i="3" s="1"/>
  <c r="AB34" i="3"/>
  <c r="Z197" i="3"/>
  <c r="C198" i="4" l="1"/>
  <c r="K198" i="4"/>
  <c r="J198" i="4"/>
  <c r="G198" i="4"/>
  <c r="H198" i="4"/>
  <c r="E198" i="4"/>
  <c r="F198" i="4"/>
  <c r="W198" i="3"/>
  <c r="Y197" i="3"/>
  <c r="BA197" i="3"/>
  <c r="D197" i="3"/>
  <c r="B198" i="3"/>
  <c r="AX197" i="3"/>
  <c r="P197" i="3"/>
  <c r="N198" i="3"/>
  <c r="P198" i="3" s="1"/>
  <c r="O198" i="3"/>
  <c r="Q197" i="3"/>
  <c r="M198" i="3"/>
  <c r="AV197" i="3"/>
  <c r="AT198" i="3"/>
  <c r="AV198" i="3" s="1"/>
  <c r="AU198" i="3"/>
  <c r="AW198" i="3" s="1"/>
  <c r="AW197" i="3"/>
  <c r="AZ196" i="3"/>
  <c r="H198" i="3"/>
  <c r="AQ198" i="3"/>
  <c r="AS198" i="3" s="1"/>
  <c r="AS197" i="3"/>
  <c r="E197" i="3"/>
  <c r="AB197" i="3"/>
  <c r="Z198" i="3"/>
  <c r="AB198" i="3" s="1"/>
  <c r="L197" i="3"/>
  <c r="J198" i="3"/>
  <c r="L198" i="3" s="1"/>
  <c r="S198" i="3"/>
  <c r="U198" i="3" s="1"/>
  <c r="U197" i="3"/>
  <c r="X197" i="3"/>
  <c r="V198" i="3"/>
  <c r="X198" i="3" s="1"/>
  <c r="AM198" i="3"/>
  <c r="AO198" i="3" s="1"/>
  <c r="AO197" i="3"/>
  <c r="AZ34" i="3"/>
  <c r="E198" i="3"/>
  <c r="AJ197" i="3"/>
  <c r="AH198" i="3"/>
  <c r="AJ198" i="3" s="1"/>
  <c r="AK198" i="3" l="1"/>
  <c r="AR198" i="3"/>
  <c r="Q198" i="3"/>
  <c r="AZ197" i="3"/>
  <c r="AN198" i="3"/>
  <c r="AC198" i="3"/>
  <c r="T198" i="3"/>
  <c r="D198" i="3"/>
  <c r="AX198" i="3"/>
  <c r="AZ198" i="3" s="1"/>
  <c r="Y198" i="3"/>
  <c r="BA198" i="3" l="1"/>
</calcChain>
</file>

<file path=xl/sharedStrings.xml><?xml version="1.0" encoding="utf-8"?>
<sst xmlns="http://schemas.openxmlformats.org/spreadsheetml/2006/main" count="1132" uniqueCount="432">
  <si>
    <t>Total</t>
  </si>
  <si>
    <t>ASSETS</t>
  </si>
  <si>
    <t xml:space="preserve">   Current Assets</t>
  </si>
  <si>
    <t xml:space="preserve">      Bank Accounts</t>
  </si>
  <si>
    <t xml:space="preserve">         10-101 CASH IN BANK</t>
  </si>
  <si>
    <t xml:space="preserve">            10-1011 OPERATING ACCOUNT - 2890</t>
  </si>
  <si>
    <t xml:space="preserve">            10-1012 PAYROLL CHECKING ACCT</t>
  </si>
  <si>
    <t xml:space="preserve">            10-1013 FOOD SERVICES - 0735</t>
  </si>
  <si>
    <t xml:space="preserve">            10-1014 SPORTS AND CLUBS - 6790</t>
  </si>
  <si>
    <t xml:space="preserve">            10-1015 CONTINGENCY CHASE</t>
  </si>
  <si>
    <t xml:space="preserve">         Total 10-101 CASH IN BANK</t>
  </si>
  <si>
    <t xml:space="preserve">      Total Bank Accounts</t>
  </si>
  <si>
    <t xml:space="preserve">      Accounts Receivable</t>
  </si>
  <si>
    <t xml:space="preserve">         10-153 ACCOUNTS RECEIVABLE</t>
  </si>
  <si>
    <t xml:space="preserve">         40-152 ACCOUNTS RECEIVABLE - FED GRANT</t>
  </si>
  <si>
    <t xml:space="preserve">      Total Accounts Receivable</t>
  </si>
  <si>
    <t xml:space="preserve">      Other Current Assets</t>
  </si>
  <si>
    <t xml:space="preserve">         10-181 PREPAID EXPENSES</t>
  </si>
  <si>
    <t xml:space="preserve">         10-184 SECURITY DEPOSITS</t>
  </si>
  <si>
    <t xml:space="preserve">         10-190 PAYROLL CLEARING</t>
  </si>
  <si>
    <t xml:space="preserve">         12000 Undeposited Funds</t>
  </si>
  <si>
    <t xml:space="preserve">         12100 Inventory Asset</t>
  </si>
  <si>
    <t xml:space="preserve">         8000 Defered Outflowsof Resources</t>
  </si>
  <si>
    <t xml:space="preserve">         Inventory Asset-1</t>
  </si>
  <si>
    <t xml:space="preserve">      Total Other Current Assets</t>
  </si>
  <si>
    <t xml:space="preserve">   Total Current Assets</t>
  </si>
  <si>
    <t xml:space="preserve">   Fixed Assets</t>
  </si>
  <si>
    <t xml:space="preserve">      10-231 BUILDINGS/BUILDING IMPROVEMETN</t>
  </si>
  <si>
    <t xml:space="preserve">      10-232 ACCUM DEPR - BUILDINGS &amp; IMPROV</t>
  </si>
  <si>
    <t xml:space="preserve">      10-241 FURNITURE &amp; EQUIPMENT</t>
  </si>
  <si>
    <t xml:space="preserve">      10-242 ACCUM DEPR - FURNITURE &amp; EQUIPM</t>
  </si>
  <si>
    <t xml:space="preserve">   Total Fixed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</si>
  <si>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</si>
  <si>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</si>
  <si>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</si>
  <si>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</si>
  <si>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</si>
  <si>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10-421 ACCOUNTS PAYABLE</t>
  </si>
  <si>
    <t xml:space="preserve">         Total Accounts Payable</t>
  </si>
  <si>
    <t xml:space="preserve">         Credit Cards</t>
  </si>
  <si>
    <t xml:space="preserve">            10-450 CHASE CREDIT CARD -  2063</t>
  </si>
  <si>
    <t xml:space="preserve">         Total Credit Cards</t>
  </si>
  <si>
    <t xml:space="preserve">         Other Current Liabilities</t>
  </si>
  <si>
    <t xml:space="preserve">            10-451 CAPITAL LEASE - CURRENT</t>
  </si>
  <si>
    <t xml:space="preserve">            10-471 ACCRUED PAYROLL PAYABLE</t>
  </si>
  <si>
    <t xml:space="preserve">            10-475 MEMBER DUES PAYABLE</t>
  </si>
  <si>
    <t xml:space="preserve">            10-476 GARNISHMENTS PAYABLE</t>
  </si>
  <si>
    <t xml:space="preserve">            10-479 OTHER PAYROLL WITHHOLD PAYABLE</t>
  </si>
  <si>
    <t xml:space="preserve">            8001 Pension Liabiliy</t>
  </si>
  <si>
    <t xml:space="preserve">            8002 Defered Inflowsof Resources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</si>
  <si>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</si>
  <si>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</si>
  <si>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</si>
  <si>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</si>
  <si>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30000 OPENING BALANCE EQUITY</t>
  </si>
  <si>
    <t xml:space="preserve">      32000 *Retained Earnings</t>
  </si>
  <si>
    <t xml:space="preserve">      3900 RETAINED EARNINGS</t>
  </si>
  <si>
    <t xml:space="preserve">      Net Income</t>
  </si>
  <si>
    <t xml:space="preserve">   Total Equity</t>
  </si>
  <si>
    <t>TOTAL LIABILITIES AND EQUITY</t>
  </si>
  <si>
    <t>Wednesday, Jun 15, 2022 06:09:01 PM GMT-7 - Accrual Basis</t>
  </si>
  <si>
    <t>DeKalb Preparatory Academy</t>
  </si>
  <si>
    <t>Balance Sheet</t>
  </si>
  <si>
    <t>As of April 30, 2022</t>
  </si>
  <si>
    <t>TOTAL</t>
  </si>
  <si>
    <t>Ciridia</t>
  </si>
  <si>
    <t>Wednesday, Jun 15, 2022 06:10:06 PM GMT-7 - Accrual Basis</t>
  </si>
  <si>
    <t>Net Income</t>
  </si>
  <si>
    <t>Net Operating Income</t>
  </si>
  <si>
    <t>Total Expenses</t>
  </si>
  <si>
    <t xml:space="preserve">   Uncategorized Expense</t>
  </si>
  <si>
    <t xml:space="preserve">   Purchases</t>
  </si>
  <si>
    <t xml:space="preserve">   Total 40-6000 SPECIAL FUND - TITLE IA</t>
  </si>
  <si>
    <t xml:space="preserve">      0210177 PS-PARENT INVOLVEMENT</t>
  </si>
  <si>
    <t xml:space="preserve">      0100610 INST - SUPPLIES</t>
  </si>
  <si>
    <t xml:space="preserve">      0100110 INST - TEACHERS</t>
  </si>
  <si>
    <t xml:space="preserve">   40-6000 SPECIAL FUND - TITLE IA</t>
  </si>
  <si>
    <t xml:space="preserve">   240-141 School Business Mgmt</t>
  </si>
  <si>
    <t xml:space="preserve">   Total 10-6000 FUNCTION EXPENSES - GEN FUND</t>
  </si>
  <si>
    <t xml:space="preserve">      10-5100 CAPTIAL LEASE</t>
  </si>
  <si>
    <t xml:space="preserve">      Total 10-3300 ASP OPERATIONS</t>
  </si>
  <si>
    <t xml:space="preserve">         330-890 ASP-OTHER EXPENDITURES</t>
  </si>
  <si>
    <t xml:space="preserve">         330-630 ASP-PURCHASED FOOD</t>
  </si>
  <si>
    <t xml:space="preserve">         330-610 ASP-SUPPLIES</t>
  </si>
  <si>
    <t xml:space="preserve">         330-300 ASP - PURCHASED SERVICES</t>
  </si>
  <si>
    <t xml:space="preserve">         330-199 ASP-OTHER SALARIES AND COMP</t>
  </si>
  <si>
    <t xml:space="preserve">      10-3300 ASP OPERATIONS</t>
  </si>
  <si>
    <t xml:space="preserve">      Total 10-3100 SCHOOL NUTRITION PROGRAM</t>
  </si>
  <si>
    <t xml:space="preserve">         310-810 SNP - Dues &amp; Fees</t>
  </si>
  <si>
    <t xml:space="preserve">         310-630 SNP- PURCHASED FOOD</t>
  </si>
  <si>
    <t xml:space="preserve">         310-570 SNP-FOOD SERVICE MANAGEMENT</t>
  </si>
  <si>
    <t xml:space="preserve">         310-300 SNP-PURCHASED FOOD SVCS</t>
  </si>
  <si>
    <t xml:space="preserve">         310-184 SNP-SCHOOL NUTR PROG CAFETERIA</t>
  </si>
  <si>
    <t xml:space="preserve">      10-3100 SCHOOL NUTRITION PROGRAM</t>
  </si>
  <si>
    <t xml:space="preserve">      Total 10-2600 MAINT &amp;  OPER -  PLANT SERVICES</t>
  </si>
  <si>
    <t xml:space="preserve">         260-620 MOPS-ENERGY</t>
  </si>
  <si>
    <t xml:space="preserve">         260-610 MOPS-SUPPLIES</t>
  </si>
  <si>
    <t xml:space="preserve">         260-530 MOPS-COMMUNICATIONS</t>
  </si>
  <si>
    <t xml:space="preserve">         260-520 MOPS-INSURANCE (NON-EMPLOYEE)</t>
  </si>
  <si>
    <t xml:space="preserve">         260-490 MOPS-OTHER PURCHASED PROP SVCS</t>
  </si>
  <si>
    <t xml:space="preserve">         260-441 MOP - BUILDING RENTAL</t>
  </si>
  <si>
    <t xml:space="preserve">         Total 260-430 MOPS-REPAIR AND MAINT SVCS.</t>
  </si>
  <si>
    <t xml:space="preserve">            260433 MAINTENANCE AGREEMENTS</t>
  </si>
  <si>
    <t xml:space="preserve">            260432 REPAIR-EQUIPMENT</t>
  </si>
  <si>
    <t xml:space="preserve">            260431 REPAIRS - BUILDING MAIN</t>
  </si>
  <si>
    <t xml:space="preserve">         260-430 MOPS-REPAIR AND MAINT SVCS.</t>
  </si>
  <si>
    <t xml:space="preserve">         260-411 MOP-SANITATION</t>
  </si>
  <si>
    <t xml:space="preserve">         260-410 MOPS-WATER, SEWER</t>
  </si>
  <si>
    <t xml:space="preserve">         260-303 MOP - Resource officer</t>
  </si>
  <si>
    <t xml:space="preserve">         Total 260-300 MOPS-PURCHASED PROF SVCS</t>
  </si>
  <si>
    <t xml:space="preserve">            260304 PEST CONTROL</t>
  </si>
  <si>
    <t xml:space="preserve">            260303 SECURITY</t>
  </si>
  <si>
    <t xml:space="preserve">            260302 GROUNDS</t>
  </si>
  <si>
    <t xml:space="preserve">            260301 JANITORIAL</t>
  </si>
  <si>
    <t xml:space="preserve">         260-300 MOPS-PURCHASED PROF SVCS</t>
  </si>
  <si>
    <t xml:space="preserve">         260-230 MOPS-TEACHERS RETIREMENT SYSTEM</t>
  </si>
  <si>
    <t xml:space="preserve">         260-191 MOP - SECURITY OFFICER</t>
  </si>
  <si>
    <t xml:space="preserve">         260-186 MOPS-CUSTODIAL PERSONNEL</t>
  </si>
  <si>
    <t xml:space="preserve">         260-181 MOPS-MAINTENANCE PERSONNEL</t>
  </si>
  <si>
    <t xml:space="preserve">      10-2600 MAINT &amp;  OPER -  PLANT SERVICES</t>
  </si>
  <si>
    <t xml:space="preserve">      Total 10-2500 SUPPORT SERVICES - BUSINESS</t>
  </si>
  <si>
    <t xml:space="preserve">         250-810 SSB-DUES AND FEES</t>
  </si>
  <si>
    <t xml:space="preserve">         250-615 SSB-EXPENDABLE EQUIPMENT</t>
  </si>
  <si>
    <t xml:space="preserve">         250-611 SSB-SUPPLIES TECHNOLOGY RELATED</t>
  </si>
  <si>
    <t xml:space="preserve">         250-610 SSB-SUPPLIES</t>
  </si>
  <si>
    <t xml:space="preserve">         Total 250-300 SSB-PURCHASED PROF &amp; TECH SVCS</t>
  </si>
  <si>
    <t xml:space="preserve">            250305 OTHERS</t>
  </si>
  <si>
    <t xml:space="preserve">            250304 IT</t>
  </si>
  <si>
    <t xml:space="preserve">            250303 AUDIT  /  ACCOUNTING</t>
  </si>
  <si>
    <t xml:space="preserve">            250302 HR/PAYROLL</t>
  </si>
  <si>
    <t xml:space="preserve">            250301 LEGAL</t>
  </si>
  <si>
    <t xml:space="preserve">         250-300 SSB-PURCHASED PROF &amp; TECH SVCS</t>
  </si>
  <si>
    <t xml:space="preserve">         250-230 SSB-TEACHERS RETIREMENT SYSTEM</t>
  </si>
  <si>
    <t xml:space="preserve">         250-148 SSB-ACCOUNTANT</t>
  </si>
  <si>
    <t xml:space="preserve">      10-2500 SUPPORT SERVICES - BUSINESS</t>
  </si>
  <si>
    <t xml:space="preserve">      Total 10-2400 SCHOOL ADMINISTRATION</t>
  </si>
  <si>
    <t xml:space="preserve">         Total 240-810 SA-DUES AND FEES</t>
  </si>
  <si>
    <t xml:space="preserve">            24817 SA-OTHER FEES</t>
  </si>
  <si>
    <t xml:space="preserve">            24815 SA-BANK FEES</t>
  </si>
  <si>
    <t xml:space="preserve">            24814 SA-REGISTRATION FEE</t>
  </si>
  <si>
    <t xml:space="preserve">            24812 SA-MEMBERSHIP DUES</t>
  </si>
  <si>
    <t xml:space="preserve">            24811 SA-PAYROLL PROCESSING FEE</t>
  </si>
  <si>
    <t xml:space="preserve">         240-810 SA-DUES AND FEES</t>
  </si>
  <si>
    <t xml:space="preserve">         240-615 SA-EXPENDABLE EQUIPMENT</t>
  </si>
  <si>
    <t xml:space="preserve">         240-612 SA-COMPUTER SOFTWARE</t>
  </si>
  <si>
    <t xml:space="preserve">         240-611 SA-SUPPLIES TECHNOLOGY RELATED</t>
  </si>
  <si>
    <t xml:space="preserve">         240-610 SA-SUPPLIES</t>
  </si>
  <si>
    <t xml:space="preserve">         240-595 SA-OTHER PURCHASED SERVICES</t>
  </si>
  <si>
    <t xml:space="preserve">         Total 240-580 SA-TRAVEL</t>
  </si>
  <si>
    <t xml:space="preserve">            24585 SA-MILEGE REIMBURSEMENT</t>
  </si>
  <si>
    <t xml:space="preserve">            24583 SA-TRAVEL TRANSPORATION</t>
  </si>
  <si>
    <t xml:space="preserve">         240-580 SA-TRAVEL</t>
  </si>
  <si>
    <t xml:space="preserve">         Total 240-530 SA-COMMUNICATION</t>
  </si>
  <si>
    <t xml:space="preserve">            24534 SA-INTERNET</t>
  </si>
  <si>
    <t xml:space="preserve">            24533 SA-TELEPHONE</t>
  </si>
  <si>
    <t xml:space="preserve">            24532 SA-PRINTING</t>
  </si>
  <si>
    <t xml:space="preserve">            24531 SA-POSTAGE</t>
  </si>
  <si>
    <t xml:space="preserve">         240-530 SA-COMMUNICATION</t>
  </si>
  <si>
    <t xml:space="preserve">         240-443 SA-RENTAL OF EQUIP</t>
  </si>
  <si>
    <t xml:space="preserve">         Total 240-300 SA-PURCHASED PROF &amp; TECH SVCS.</t>
  </si>
  <si>
    <t xml:space="preserve">            24303 SA-BACKGROUND CHECK</t>
  </si>
  <si>
    <t xml:space="preserve">            24302 EMPLYMENT ADS/ RECURITING</t>
  </si>
  <si>
    <t xml:space="preserve">            24301 SA-CONTRACTED ADMIN</t>
  </si>
  <si>
    <t xml:space="preserve">         240-300 SA-PURCHASED PROF &amp; TECH SVCS.</t>
  </si>
  <si>
    <t xml:space="preserve">         240-230 SA-TEACHERS RETIREMENT SYSTEM</t>
  </si>
  <si>
    <t xml:space="preserve">         240-210 SA-HEALTH INSURANCE</t>
  </si>
  <si>
    <t xml:space="preserve">         240-191 SA-General Administration</t>
  </si>
  <si>
    <t xml:space="preserve">         240-190 SA-OTHER MANAGEMENT PERSONNEL</t>
  </si>
  <si>
    <t xml:space="preserve">         240-161 SA-TECHNOLOGY SPECIALIST</t>
  </si>
  <si>
    <t xml:space="preserve">         240-142 SA-CLERICAL STAFF</t>
  </si>
  <si>
    <t xml:space="preserve">         240-140 SA-AIDS AND PARAPRO</t>
  </si>
  <si>
    <t xml:space="preserve">         240-131 SA-ASSISTANT PRINCIPAL</t>
  </si>
  <si>
    <t xml:space="preserve">         240-130 SA-PRINCIPAL</t>
  </si>
  <si>
    <t xml:space="preserve">         240-120 SA - Exective Director</t>
  </si>
  <si>
    <t xml:space="preserve">      10-2400 SCHOOL ADMINISTRATION</t>
  </si>
  <si>
    <t xml:space="preserve">      Total 10-2300 GENERAL ADMINSTRATION</t>
  </si>
  <si>
    <t xml:space="preserve">         230-810 GA-DUES AND FEES</t>
  </si>
  <si>
    <t xml:space="preserve">         230-615 GA-EXPENDABLE EQUIPMENT</t>
  </si>
  <si>
    <t xml:space="preserve">         230-612 GA-COMPUTER SOFTWARE</t>
  </si>
  <si>
    <t xml:space="preserve">         230-610 GA-SUPPLIES</t>
  </si>
  <si>
    <t xml:space="preserve">         230-290 GA-OTHER EMPLOYEE BENEFITS</t>
  </si>
  <si>
    <t xml:space="preserve">         230-260 GA-WORKERS COMPENSATION</t>
  </si>
  <si>
    <t xml:space="preserve">         230-230 GA-TEACHERS RETIREMENT SYSTEM</t>
  </si>
  <si>
    <t xml:space="preserve">         230-210 GA-HEALTH INSURANCE</t>
  </si>
  <si>
    <t xml:space="preserve">         230-191 GA-OTHER ADMIN PERSONNEL</t>
  </si>
  <si>
    <t xml:space="preserve">         230-190 GA-OTHER MANAGEMENT PERSONNEL</t>
  </si>
  <si>
    <t xml:space="preserve">      10-2300 GENERAL ADMINSTRATION</t>
  </si>
  <si>
    <t xml:space="preserve">      Total 10-2220 EDUCATIONAL MEDIA SERVICES</t>
  </si>
  <si>
    <t xml:space="preserve">         222-611 EMS-SUPPLIES TECHNOLOGY</t>
  </si>
  <si>
    <t xml:space="preserve">         222-610 EMS-SUPPLIES</t>
  </si>
  <si>
    <t xml:space="preserve">         222-230 EMS-TEACHERS RETIREMENT SYSTEM</t>
  </si>
  <si>
    <t xml:space="preserve">         222-210 EMS-HEALTH INSURANCE</t>
  </si>
  <si>
    <t xml:space="preserve">         222-165 EMS-MEDIA SPECIALIST</t>
  </si>
  <si>
    <t xml:space="preserve">      10-2220 EDUCATIONAL MEDIA SERVICES</t>
  </si>
  <si>
    <t xml:space="preserve">      Total 10-2210 IMPROVEMENT OF INSTRUCT SERVICE</t>
  </si>
  <si>
    <t xml:space="preserve">         221-810 IIS-DUES AND FEES</t>
  </si>
  <si>
    <t xml:space="preserve">         221-300 IIS-PURCH PROFESSIONAL SERVICES</t>
  </si>
  <si>
    <t xml:space="preserve">         221-113 IIS-SUBS &amp; TEMPS (CERTIFIED)</t>
  </si>
  <si>
    <t xml:space="preserve">      10-2210 IMPROVEMENT OF INSTRUCT SERVICE</t>
  </si>
  <si>
    <t xml:space="preserve">      Total 10-2100 PUPIL SERVICES</t>
  </si>
  <si>
    <t xml:space="preserve">         210-890 PS-OTHER (FIELD TRIPS)</t>
  </si>
  <si>
    <t xml:space="preserve">         210-810 PS-DUES AND FEES</t>
  </si>
  <si>
    <t xml:space="preserve">         210-610 PS-SUPPLIES</t>
  </si>
  <si>
    <t xml:space="preserve">         210-300 PS-PURCHASED PROFESSIONAL SVCS</t>
  </si>
  <si>
    <t xml:space="preserve">         210-230 PS-TEACHERS RETIREMENT SYSTEM</t>
  </si>
  <si>
    <t xml:space="preserve">         210-210 PS-HEALTH INSURANCE</t>
  </si>
  <si>
    <t xml:space="preserve">         210-174 PS-SCHOOL PSYCHOLOGIST</t>
  </si>
  <si>
    <t xml:space="preserve">         210-172 PS-ELEMENTARY COUNSELOR</t>
  </si>
  <si>
    <t xml:space="preserve">      10-2100 PUPIL SERVICES</t>
  </si>
  <si>
    <t xml:space="preserve">      Total 10-1000 INSTRUCTION</t>
  </si>
  <si>
    <t xml:space="preserve">         100-810 INST-DUES AND FEES</t>
  </si>
  <si>
    <t xml:space="preserve">         100-641 INST-TEXTBOOKS</t>
  </si>
  <si>
    <t xml:space="preserve">         100-615 INST-EXPENDABLE EQUIPMENT</t>
  </si>
  <si>
    <t xml:space="preserve">         100-612 INST-SOFTWARE</t>
  </si>
  <si>
    <t xml:space="preserve">         100-611 INST-SUPPLIES EXTRACURRICULAR</t>
  </si>
  <si>
    <t xml:space="preserve">         100-610 INST-SUPPLIES</t>
  </si>
  <si>
    <t xml:space="preserve">         100-290 INST-OTHER EMPLOYEE BENEFITS</t>
  </si>
  <si>
    <t xml:space="preserve">         100-260 INST-WORKERS COMPENSATION</t>
  </si>
  <si>
    <t xml:space="preserve">         100-230 INST-TEACHERS RETIREMENT SYSTEM</t>
  </si>
  <si>
    <t xml:space="preserve">         100-220 INST-PAYROLL TAX EXPENSE</t>
  </si>
  <si>
    <t xml:space="preserve">         100-210 INST-HEALTH INSURANCE</t>
  </si>
  <si>
    <t xml:space="preserve">         100-200 INST-EMPLOYEE BENEFITS</t>
  </si>
  <si>
    <t xml:space="preserve">         100-161 INST-TECHNOLOGY SPECIALIST</t>
  </si>
  <si>
    <t xml:space="preserve">         100-140 INST-AIDS AND PARAPRO</t>
  </si>
  <si>
    <t xml:space="preserve">         100-114 INST- TEMPS BUILDING ASSISTANTS</t>
  </si>
  <si>
    <t xml:space="preserve">         100-113 INST-SUBSTITUTE TEACHERS</t>
  </si>
  <si>
    <t xml:space="preserve">         100-112 TUTORS</t>
  </si>
  <si>
    <t xml:space="preserve">         100-110 INST-TEACHERS</t>
  </si>
  <si>
    <t xml:space="preserve">      10-1000 INSTRUCTION</t>
  </si>
  <si>
    <t xml:space="preserve">   10-6000 FUNCTION EXPENSES - GEN FUND</t>
  </si>
  <si>
    <t>Expenses</t>
  </si>
  <si>
    <t>Gross Profit</t>
  </si>
  <si>
    <t>Total Cost of Goods Sold</t>
  </si>
  <si>
    <t xml:space="preserve">   50000 Cost of Goods Sold</t>
  </si>
  <si>
    <t>Cost of Goods Sold</t>
  </si>
  <si>
    <t>Total Income</t>
  </si>
  <si>
    <t xml:space="preserve">   Services</t>
  </si>
  <si>
    <t xml:space="preserve">   Total 40-0000 REVENUE - SPECIAL FUND</t>
  </si>
  <si>
    <t xml:space="preserve">      47-4750 FEDERAL REVENUE - NUTRITION INC</t>
  </si>
  <si>
    <t xml:space="preserve">      40-4520 FEDERAL REVENUE - TITLE IA</t>
  </si>
  <si>
    <t xml:space="preserve">   40-0000 REVENUE - SPECIAL FUND</t>
  </si>
  <si>
    <t xml:space="preserve">   Total 10-0000 REVENUE - GENERAL FUNDS</t>
  </si>
  <si>
    <t xml:space="preserve">      Total 3120 DEKALB COUNTY BOE</t>
  </si>
  <si>
    <t xml:space="preserve">         44500 Government Grants- ESSER</t>
  </si>
  <si>
    <t xml:space="preserve">      3120 DEKALB COUNTY BOE</t>
  </si>
  <si>
    <t xml:space="preserve">      1500 INVESTMENT INCOME</t>
  </si>
  <si>
    <t xml:space="preserve">      1226 MISC REVENUE</t>
  </si>
  <si>
    <t xml:space="preserve">      1225 OTHER LOCAL REVENUE</t>
  </si>
  <si>
    <t xml:space="preserve">      1224 STATE/LOCAL GOVERNMENT REVENUE</t>
  </si>
  <si>
    <t xml:space="preserve">      1223 FUNDRAISING/EVENT REVENUE</t>
  </si>
  <si>
    <t xml:space="preserve">      1222 FIELD TRIP</t>
  </si>
  <si>
    <t xml:space="preserve">      1221 STUDENT ACTIVITIES</t>
  </si>
  <si>
    <t xml:space="preserve">      Total 1220 DONATIONS</t>
  </si>
  <si>
    <t xml:space="preserve">         122-3 DONATION - CORP</t>
  </si>
  <si>
    <t xml:space="preserve">         122-2 DONATION - BOARD MEMBER</t>
  </si>
  <si>
    <t xml:space="preserve">         122-1 DONATION - INDIVIDUAL</t>
  </si>
  <si>
    <t xml:space="preserve">      1220 DONATIONS</t>
  </si>
  <si>
    <t xml:space="preserve">   10-0000 REVENUE - GENERAL FUNDS</t>
  </si>
  <si>
    <t>Income</t>
  </si>
  <si>
    <t>% of Budget</t>
  </si>
  <si>
    <t>over Budget</t>
  </si>
  <si>
    <t>Budget</t>
  </si>
  <si>
    <t>Actual</t>
  </si>
  <si>
    <t>Jun 2022</t>
  </si>
  <si>
    <t>May 2022</t>
  </si>
  <si>
    <t>Apr 2022</t>
  </si>
  <si>
    <t>Mar 2022</t>
  </si>
  <si>
    <t>Feb 2022</t>
  </si>
  <si>
    <t>Jan 2022</t>
  </si>
  <si>
    <t>Dec 2021</t>
  </si>
  <si>
    <t>Nov 2021</t>
  </si>
  <si>
    <t>Oct 2021</t>
  </si>
  <si>
    <t>Sep 2021</t>
  </si>
  <si>
    <t>Aug 2021</t>
  </si>
  <si>
    <t>Jul 2021</t>
  </si>
  <si>
    <t>July 2021 - June 2022</t>
  </si>
  <si>
    <t xml:space="preserve">Budget vs. Actuals: FY2022 Amended - FY22 P&amp;L </t>
  </si>
  <si>
    <t>Wednesday, Jun 15, 2022 06:11:19 PM GMT-7 - Accrual Basis</t>
  </si>
  <si>
    <t>July 2021 - April 2022</t>
  </si>
  <si>
    <t>IXL Learning</t>
  </si>
  <si>
    <t>A/P Aging Summary</t>
  </si>
  <si>
    <t>Current</t>
  </si>
  <si>
    <t>1 - 30</t>
  </si>
  <si>
    <t>31 - 60</t>
  </si>
  <si>
    <t>61 - 90</t>
  </si>
  <si>
    <t>91 and over</t>
  </si>
  <si>
    <t>Wednesday, Jun 15, 2022 06:19:11 PM GMT-7</t>
  </si>
  <si>
    <t/>
  </si>
  <si>
    <t xml:space="preserve">YTD Actual </t>
  </si>
  <si>
    <t>YTD Budget</t>
  </si>
  <si>
    <t>Annual Budget</t>
  </si>
  <si>
    <t>% of Annual Budget</t>
  </si>
  <si>
    <t>BUDGET VS ACTUAL - YTD</t>
  </si>
  <si>
    <t>YTD DAYS CASH ON HAND</t>
  </si>
  <si>
    <t>Year 1 July 2021 - April 2022</t>
  </si>
  <si>
    <t>$ Over/(Under)</t>
  </si>
  <si>
    <t>Cash On Hand (A)</t>
  </si>
  <si>
    <t>Total YTD Expenses (B)</t>
  </si>
  <si>
    <t>Expense</t>
  </si>
  <si>
    <t>Cash On Hand Days (A/B * 365)</t>
  </si>
  <si>
    <t>Surplus(Deficit)</t>
  </si>
  <si>
    <t>Prior year YTD Expense</t>
  </si>
  <si>
    <t>Cash on Hand Days (Prior year YTD Expense $)</t>
  </si>
  <si>
    <t>BUDGET VS ACTUAL</t>
  </si>
  <si>
    <t>April 2022</t>
  </si>
  <si>
    <t>YTD EXPENSE ALLOCATION MODELING</t>
  </si>
  <si>
    <t>YTD Expense Ratios</t>
  </si>
  <si>
    <t>% Allocation</t>
  </si>
  <si>
    <t>Prior Year Ratios</t>
  </si>
  <si>
    <t>NACSA Best Pratice Model</t>
  </si>
  <si>
    <t>1000 - INSTRUCTION</t>
  </si>
  <si>
    <t>2100 - PUPIL SERVICES</t>
  </si>
  <si>
    <t>2210 - IMPROVEMENT OF INSTRUCTIONAL SERVICES</t>
  </si>
  <si>
    <t>BALANCE SHEET</t>
  </si>
  <si>
    <t>APR 2022</t>
  </si>
  <si>
    <t>2213 - INSTRUCTIONAL STAFF TRAINING</t>
  </si>
  <si>
    <t>2220 - EDUCATIONAL MEDIA SERVICES</t>
  </si>
  <si>
    <t>2230 - FEDERAL GRANT ADMINISTRATION</t>
  </si>
  <si>
    <t>Current Assets</t>
  </si>
  <si>
    <t>2300 - GENERAL ADMINISTRATION</t>
  </si>
  <si>
    <t>Checking/Savings</t>
  </si>
  <si>
    <t>2400 - SCHOOL ADMINISTRATION</t>
  </si>
  <si>
    <t>Other Current Assets</t>
  </si>
  <si>
    <t>2500 - SUPPORT SERVICES - BUSINESS</t>
  </si>
  <si>
    <t>Total Current Assets</t>
  </si>
  <si>
    <t>2600 - MAINTENANCE AND OPERATION OF PLANT SERVICES</t>
  </si>
  <si>
    <t>Fixed Assets</t>
  </si>
  <si>
    <t>2700 - STUDENT TRANSPORTATION SERVICE</t>
  </si>
  <si>
    <t>Total Long Term Assets</t>
  </si>
  <si>
    <t>2800 - SUPPORT SERVICES - CENTRAL</t>
  </si>
  <si>
    <t>2900 - OTHER SUPPORT SERVICES</t>
  </si>
  <si>
    <t>3100 - SCHOOL NUTRITION PROGRAM</t>
  </si>
  <si>
    <t>3200 - ENTERPRISE OPERATIONS</t>
  </si>
  <si>
    <t>LIABILITIES &amp; EQUITY</t>
  </si>
  <si>
    <t>3300 - COMMUNITY SERVICES OPERATIONS</t>
  </si>
  <si>
    <t>Liabilities</t>
  </si>
  <si>
    <t>4000 - FACILITIES ACQUISITION AND CONSTRUCTION SERVICES</t>
  </si>
  <si>
    <t>Current Liabilities</t>
  </si>
  <si>
    <t>5000 - OTHER OUTLAYS</t>
  </si>
  <si>
    <t>Accounts Payable</t>
  </si>
  <si>
    <t>5100 - DEBT SERVICE</t>
  </si>
  <si>
    <t>Other Current Liabilities</t>
  </si>
  <si>
    <t>Total Expense</t>
  </si>
  <si>
    <t>Total Current Liabilities</t>
  </si>
  <si>
    <t>Long Term Liabilities</t>
  </si>
  <si>
    <t>GA SCSC</t>
  </si>
  <si>
    <t>Total Liabilities</t>
  </si>
  <si>
    <t>Equity</t>
  </si>
  <si>
    <t>Our Ratio</t>
  </si>
  <si>
    <t>Meet Standard</t>
  </si>
  <si>
    <t>Approach Standard</t>
  </si>
  <si>
    <t>Does Not Meet</t>
  </si>
  <si>
    <t>TOTAL LIABILITIES &amp; EQUITY</t>
  </si>
  <si>
    <t>Current Ratio</t>
  </si>
  <si>
    <t>&gt;1</t>
  </si>
  <si>
    <t>&gt;0.9 / &lt;=1.0</t>
  </si>
  <si>
    <t>&lt;0.9</t>
  </si>
  <si>
    <t>Unrestricted Day Cash</t>
  </si>
  <si>
    <t>&gt;45</t>
  </si>
  <si>
    <t>15-45</t>
  </si>
  <si>
    <t>&lt;15</t>
  </si>
  <si>
    <t>Enrollment Variance</t>
  </si>
  <si>
    <t>&lt;2%</t>
  </si>
  <si>
    <t>2 - 8%</t>
  </si>
  <si>
    <t>&gt;8%</t>
  </si>
  <si>
    <t>&lt;5%</t>
  </si>
  <si>
    <t>5 - 15%</t>
  </si>
  <si>
    <t>&gt;15%</t>
  </si>
  <si>
    <t>Repayment Debt on Timely manner</t>
  </si>
  <si>
    <t>Yes</t>
  </si>
  <si>
    <t>No</t>
  </si>
  <si>
    <t>&gt;0</t>
  </si>
  <si>
    <t>0% to -10%</t>
  </si>
  <si>
    <t>&lt;-10%</t>
  </si>
  <si>
    <t>Debt to Assets</t>
  </si>
  <si>
    <t>&lt;95%</t>
  </si>
  <si>
    <t>95 - 100%</t>
  </si>
  <si>
    <t>&gt;100%</t>
  </si>
  <si>
    <t>SCSC Determination of Compliance Total:</t>
  </si>
  <si>
    <t>GA DOE</t>
  </si>
  <si>
    <t>Not Meet Standard</t>
  </si>
  <si>
    <t>Determination fo Compliance Points</t>
  </si>
  <si>
    <t>&gt; 1.00</t>
  </si>
  <si>
    <t>&lt;1.00</t>
  </si>
  <si>
    <t>&gt; 45 days</t>
  </si>
  <si>
    <t>&lt; 45 days</t>
  </si>
  <si>
    <t>&lt; 95%</t>
  </si>
  <si>
    <t>&gt; 95%</t>
  </si>
  <si>
    <t>Audit Report</t>
  </si>
  <si>
    <t>Unmodified opinion</t>
  </si>
  <si>
    <t>Unmodifed opinion and/or no finding and/or no going concerns</t>
  </si>
  <si>
    <t>Modifed opinion and/or findings and/or going concerns</t>
  </si>
  <si>
    <t xml:space="preserve">Dekalb Prep Academy </t>
  </si>
  <si>
    <t xml:space="preserve"> July 2021 - April 2022</t>
  </si>
  <si>
    <t>Current Ratio = Current Assets/Current Liability</t>
  </si>
  <si>
    <t>Debt to Assets = Total liability/Total Assets (fixed assets + capital outlay)</t>
  </si>
  <si>
    <t>Annual Debt to Income (DTI) = Total Annual Debt Payments (Debt Service)/Total Revenue</t>
  </si>
  <si>
    <t>Efficiency Margin = Change in net assets / total revenue</t>
  </si>
  <si>
    <t>CFO REPORT</t>
  </si>
  <si>
    <t>As of 4/30/2022</t>
  </si>
  <si>
    <t>Prepared by: Candy Yu (CFO Consultant)</t>
  </si>
  <si>
    <t>The attached reports highlight the academy's financial activities and results for the month ending 04/30/2022</t>
  </si>
  <si>
    <t>Executive Summary:</t>
  </si>
  <si>
    <t>Challenges</t>
  </si>
  <si>
    <t>None at this time.</t>
  </si>
  <si>
    <t>Recommendations:</t>
  </si>
  <si>
    <t>Financial Statements</t>
  </si>
  <si>
    <t>-</t>
  </si>
  <si>
    <t>Cash Flow</t>
  </si>
  <si>
    <t>Debt</t>
  </si>
  <si>
    <t>NA</t>
  </si>
  <si>
    <t>System</t>
  </si>
  <si>
    <t>Banking</t>
  </si>
  <si>
    <t>Others</t>
  </si>
  <si>
    <t>Prepared: 06/15/2022</t>
  </si>
  <si>
    <t>In April 2022, our monthly budgeted revenue is $603K and our actual revenue is $652K, being under budget by $48K</t>
  </si>
  <si>
    <t xml:space="preserve">Transition for CFO occurred in mid of May 2022.  Monthly focus was on operation transition </t>
  </si>
  <si>
    <t>Prior CFO resiged on May 9, 2022.  April financial data were incomplete as of 05/09/2022</t>
  </si>
  <si>
    <t>In April 2022, our monthly budgeted expenses is $441K and our actual expenses were $658K, we under budget by $217K</t>
  </si>
  <si>
    <t xml:space="preserve">FY23 budget approved by the board </t>
  </si>
  <si>
    <t>The cash balance is at $4.1M</t>
  </si>
  <si>
    <t xml:space="preserve">Cash on hand is 297 days with unrestricted funds based on SCSC calculation </t>
  </si>
  <si>
    <t>Based on prior 12 months of expenses, we have 214 days cash on hand.</t>
  </si>
  <si>
    <t>CFO and accounting efforts transitions</t>
  </si>
  <si>
    <t>Grants</t>
  </si>
  <si>
    <t>Title I Grant draw down summission May 2022  in amount of $24,979.74</t>
  </si>
  <si>
    <t>Facillity Grant draw down submission YTD 2022 in amount of $50,285</t>
  </si>
  <si>
    <t>Esser 2 Grant draw down submission YTD 2022 in amount of $734,025</t>
  </si>
  <si>
    <t xml:space="preserve">CFO assessment report completion </t>
  </si>
  <si>
    <t>The fiscal year to date (July 2021 - April 2022) budgeted net surplus $113K and the actual net surplus is $188K being over budget by $74K.  Mainly due to delay in Esser grant draw down submission</t>
  </si>
  <si>
    <t>Monthly Financial SnapShots</t>
  </si>
  <si>
    <t>DeKalb Preparatory Academy  Public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</si>
</sst>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_(&quot;$&quot;* #,##0_);_(&quot;$&quot;* \(#,##0\);_(&quot;$&quot;* &quot;-&quot;??_);_(@_)"/>
    <numFmt numFmtId="167" formatCode="[=0]&quot;&quot;_(&quot;-&quot;00&quot;&quot;_)&quot;&quot;;[&lt;0]&quot;&quot;_(&quot;&quot;\(&quot;&quot;#,##0.00&quot;&quot;\)&quot;&quot;;&quot;&quot;_(&quot;&quot;#,##0.00&quot;&quot;_)&quot;&quot;;&quot;_(&quot;@&quot;_)&quot;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80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8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right" wrapText="1"/>
    </xf>
    <xf numFmtId="10" fontId="3" fillId="0" borderId="3" xfId="0" applyNumberFormat="1" applyFont="1" applyBorder="1" applyAlignment="1">
      <alignment horizontal="right" wrapText="1"/>
    </xf>
    <xf numFmtId="10" fontId="4" fillId="0" borderId="0" xfId="0" applyNumberFormat="1" applyFont="1" applyAlignment="1">
      <alignment horizontal="right" wrapText="1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43" fontId="8" fillId="0" borderId="0" xfId="1" applyFont="1"/>
    <xf numFmtId="10" fontId="9" fillId="0" borderId="0" xfId="2" applyNumberFormat="1" applyFont="1"/>
    <xf numFmtId="0" fontId="2" fillId="2" borderId="1" xfId="0" applyFont="1" applyFill="1" applyBorder="1" applyAlignment="1">
      <alignment horizontal="center" wrapText="1"/>
    </xf>
    <xf numFmtId="43" fontId="4" fillId="2" borderId="0" xfId="1" applyFont="1" applyFill="1" applyAlignment="1">
      <alignment wrapText="1"/>
    </xf>
    <xf numFmtId="43" fontId="4" fillId="2" borderId="0" xfId="1" applyFont="1" applyFill="1" applyAlignment="1">
      <alignment horizontal="right" wrapText="1"/>
    </xf>
    <xf numFmtId="43" fontId="3" fillId="2" borderId="3" xfId="1" applyFont="1" applyFill="1" applyBorder="1" applyAlignment="1">
      <alignment horizontal="right" wrapText="1"/>
    </xf>
    <xf numFmtId="43" fontId="3" fillId="2" borderId="0" xfId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43" fontId="4" fillId="3" borderId="0" xfId="1" applyFont="1" applyFill="1" applyAlignment="1">
      <alignment wrapText="1"/>
    </xf>
    <xf numFmtId="43" fontId="4" fillId="3" borderId="0" xfId="1" applyFont="1" applyFill="1" applyAlignment="1">
      <alignment horizontal="right" wrapText="1"/>
    </xf>
    <xf numFmtId="43" fontId="3" fillId="3" borderId="3" xfId="1" applyFont="1" applyFill="1" applyBorder="1" applyAlignment="1">
      <alignment horizontal="right" wrapText="1"/>
    </xf>
    <xf numFmtId="43" fontId="3" fillId="3" borderId="0" xfId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43" fontId="4" fillId="4" borderId="0" xfId="1" applyFont="1" applyFill="1" applyAlignment="1">
      <alignment wrapText="1"/>
    </xf>
    <xf numFmtId="43" fontId="4" fillId="4" borderId="0" xfId="1" applyFont="1" applyFill="1" applyAlignment="1">
      <alignment horizontal="right" wrapText="1"/>
    </xf>
    <xf numFmtId="43" fontId="3" fillId="4" borderId="3" xfId="1" applyFont="1" applyFill="1" applyBorder="1" applyAlignment="1">
      <alignment horizontal="right" wrapText="1"/>
    </xf>
    <xf numFmtId="43" fontId="3" fillId="4" borderId="0" xfId="1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center" wrapText="1"/>
    </xf>
    <xf numFmtId="43" fontId="4" fillId="5" borderId="0" xfId="1" applyFont="1" applyFill="1" applyAlignment="1">
      <alignment wrapText="1"/>
    </xf>
    <xf numFmtId="43" fontId="4" fillId="5" borderId="0" xfId="1" applyFont="1" applyFill="1" applyAlignment="1">
      <alignment horizontal="right" wrapText="1"/>
    </xf>
    <xf numFmtId="43" fontId="3" fillId="5" borderId="3" xfId="1" applyFont="1" applyFill="1" applyBorder="1" applyAlignment="1">
      <alignment horizontal="right" wrapText="1"/>
    </xf>
    <xf numFmtId="43" fontId="3" fillId="5" borderId="0" xfId="1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center" wrapText="1"/>
    </xf>
    <xf numFmtId="164" fontId="4" fillId="6" borderId="0" xfId="0" applyNumberFormat="1" applyFont="1" applyFill="1" applyAlignment="1">
      <alignment wrapText="1"/>
    </xf>
    <xf numFmtId="10" fontId="4" fillId="6" borderId="0" xfId="0" applyNumberFormat="1" applyFont="1" applyFill="1" applyAlignment="1">
      <alignment horizontal="right" wrapText="1"/>
    </xf>
    <xf numFmtId="10" fontId="3" fillId="6" borderId="3" xfId="0" applyNumberFormat="1" applyFont="1" applyFill="1" applyBorder="1" applyAlignment="1">
      <alignment horizontal="right" wrapText="1"/>
    </xf>
    <xf numFmtId="10" fontId="3" fillId="6" borderId="0" xfId="0" applyNumberFormat="1" applyFont="1" applyFill="1" applyBorder="1" applyAlignment="1">
      <alignment horizontal="right" wrapText="1"/>
    </xf>
    <xf numFmtId="43" fontId="10" fillId="7" borderId="1" xfId="1" applyFont="1" applyFill="1" applyBorder="1" applyAlignment="1">
      <alignment horizontal="center" wrapText="1"/>
    </xf>
    <xf numFmtId="43" fontId="8" fillId="7" borderId="0" xfId="1" applyFont="1" applyFill="1"/>
    <xf numFmtId="43" fontId="8" fillId="7" borderId="1" xfId="1" applyFont="1" applyFill="1" applyBorder="1"/>
    <xf numFmtId="43" fontId="8" fillId="7" borderId="4" xfId="1" applyFont="1" applyFill="1" applyBorder="1"/>
    <xf numFmtId="10" fontId="10" fillId="8" borderId="1" xfId="2" applyNumberFormat="1" applyFont="1" applyFill="1" applyBorder="1" applyAlignment="1">
      <alignment horizontal="center" wrapText="1"/>
    </xf>
    <xf numFmtId="10" fontId="9" fillId="8" borderId="0" xfId="2" applyNumberFormat="1" applyFont="1" applyFill="1"/>
    <xf numFmtId="10" fontId="9" fillId="8" borderId="1" xfId="2" applyNumberFormat="1" applyFont="1" applyFill="1" applyBorder="1"/>
    <xf numFmtId="10" fontId="9" fillId="8" borderId="4" xfId="2" applyNumberFormat="1" applyFont="1" applyFill="1" applyBorder="1"/>
    <xf numFmtId="0" fontId="11" fillId="0" borderId="0" xfId="3"/>
    <xf numFmtId="0" fontId="11" fillId="9" borderId="5" xfId="3" applyFill="1" applyBorder="1" applyAlignment="1">
      <alignment horizontal="center"/>
    </xf>
    <xf numFmtId="0" fontId="13" fillId="0" borderId="5" xfId="3" applyFont="1" applyBorder="1" applyAlignment="1">
      <alignment horizontal="left"/>
    </xf>
    <xf numFmtId="0" fontId="13" fillId="0" borderId="5" xfId="3" applyFont="1" applyBorder="1" applyAlignment="1">
      <alignment horizontal="right"/>
    </xf>
    <xf numFmtId="0" fontId="11" fillId="0" borderId="5" xfId="3" applyBorder="1" applyAlignment="1">
      <alignment horizontal="left"/>
    </xf>
    <xf numFmtId="0" fontId="11" fillId="0" borderId="5" xfId="3" applyBorder="1" applyAlignment="1">
      <alignment horizontal="right"/>
    </xf>
    <xf numFmtId="0" fontId="13" fillId="0" borderId="5" xfId="3" applyFont="1" applyBorder="1" applyAlignment="1">
      <alignment horizontal="center"/>
    </xf>
    <xf numFmtId="0" fontId="11" fillId="0" borderId="5" xfId="3" applyBorder="1" applyAlignment="1">
      <alignment horizontal="center"/>
    </xf>
    <xf numFmtId="49" fontId="14" fillId="0" borderId="6" xfId="4" applyNumberFormat="1" applyFont="1" applyBorder="1" applyAlignment="1">
      <alignment horizontal="left"/>
    </xf>
    <xf numFmtId="0" fontId="15" fillId="0" borderId="3" xfId="4" applyFont="1" applyBorder="1" applyAlignment="1">
      <alignment horizontal="center"/>
    </xf>
    <xf numFmtId="49" fontId="15" fillId="9" borderId="7" xfId="4" applyNumberFormat="1" applyFont="1" applyFill="1" applyBorder="1" applyAlignment="1">
      <alignment horizontal="center"/>
    </xf>
    <xf numFmtId="0" fontId="15" fillId="0" borderId="8" xfId="4" applyFont="1" applyBorder="1" applyAlignment="1">
      <alignment horizontal="center"/>
    </xf>
    <xf numFmtId="0" fontId="15" fillId="0" borderId="0" xfId="4" applyFont="1" applyAlignment="1">
      <alignment horizontal="center"/>
    </xf>
    <xf numFmtId="0" fontId="15" fillId="0" borderId="9" xfId="4" applyFont="1" applyBorder="1" applyAlignment="1">
      <alignment horizontal="center"/>
    </xf>
    <xf numFmtId="49" fontId="15" fillId="0" borderId="8" xfId="4" applyNumberFormat="1" applyFont="1" applyBorder="1"/>
    <xf numFmtId="0" fontId="15" fillId="0" borderId="0" xfId="4" applyFont="1"/>
    <xf numFmtId="0" fontId="16" fillId="0" borderId="9" xfId="4" applyFont="1" applyBorder="1"/>
    <xf numFmtId="0" fontId="15" fillId="0" borderId="8" xfId="4" applyFont="1" applyBorder="1"/>
    <xf numFmtId="49" fontId="15" fillId="0" borderId="0" xfId="4" applyNumberFormat="1" applyFont="1"/>
    <xf numFmtId="166" fontId="16" fillId="0" borderId="9" xfId="4" applyNumberFormat="1" applyFont="1" applyBorder="1"/>
    <xf numFmtId="167" fontId="15" fillId="0" borderId="8" xfId="4" applyNumberFormat="1" applyFont="1" applyBorder="1"/>
    <xf numFmtId="167" fontId="15" fillId="0" borderId="0" xfId="4" applyNumberFormat="1" applyFont="1"/>
    <xf numFmtId="166" fontId="16" fillId="0" borderId="10" xfId="4" applyNumberFormat="1" applyFont="1" applyBorder="1"/>
    <xf numFmtId="166" fontId="15" fillId="0" borderId="11" xfId="4" applyNumberFormat="1" applyFont="1" applyBorder="1"/>
    <xf numFmtId="167" fontId="17" fillId="0" borderId="8" xfId="4" applyNumberFormat="1" applyFont="1" applyBorder="1"/>
    <xf numFmtId="167" fontId="17" fillId="0" borderId="0" xfId="4" applyNumberFormat="1" applyFont="1"/>
    <xf numFmtId="166" fontId="17" fillId="0" borderId="12" xfId="4" applyNumberFormat="1" applyFont="1" applyBorder="1"/>
    <xf numFmtId="166" fontId="17" fillId="0" borderId="9" xfId="4" applyNumberFormat="1" applyFont="1" applyBorder="1"/>
    <xf numFmtId="0" fontId="11" fillId="3" borderId="5" xfId="3" applyFill="1" applyBorder="1" applyAlignment="1">
      <alignment horizontal="center"/>
    </xf>
    <xf numFmtId="167" fontId="15" fillId="0" borderId="9" xfId="4" applyNumberFormat="1" applyFont="1" applyBorder="1"/>
    <xf numFmtId="167" fontId="16" fillId="0" borderId="9" xfId="4" applyNumberFormat="1" applyFont="1" applyBorder="1"/>
    <xf numFmtId="167" fontId="15" fillId="0" borderId="13" xfId="4" applyNumberFormat="1" applyFont="1" applyBorder="1"/>
    <xf numFmtId="167" fontId="15" fillId="0" borderId="1" xfId="4" applyNumberFormat="1" applyFont="1" applyBorder="1"/>
    <xf numFmtId="167" fontId="16" fillId="0" borderId="14" xfId="4" applyNumberFormat="1" applyFont="1" applyBorder="1"/>
    <xf numFmtId="0" fontId="11" fillId="0" borderId="0" xfId="3" applyAlignment="1">
      <alignment horizontal="right"/>
    </xf>
    <xf numFmtId="43" fontId="11" fillId="0" borderId="5" xfId="3" applyNumberFormat="1" applyBorder="1" applyAlignment="1">
      <alignment horizontal="right"/>
    </xf>
    <xf numFmtId="4" fontId="11" fillId="0" borderId="5" xfId="3" applyNumberFormat="1" applyBorder="1" applyAlignment="1">
      <alignment horizontal="right"/>
    </xf>
    <xf numFmtId="43" fontId="11" fillId="0" borderId="5" xfId="1" applyFont="1" applyBorder="1" applyAlignment="1">
      <alignment horizontal="right"/>
    </xf>
    <xf numFmtId="166" fontId="11" fillId="0" borderId="5" xfId="3" applyNumberFormat="1" applyBorder="1" applyAlignment="1">
      <alignment horizontal="right"/>
    </xf>
    <xf numFmtId="43" fontId="11" fillId="0" borderId="0" xfId="3" applyNumberFormat="1"/>
    <xf numFmtId="4" fontId="13" fillId="0" borderId="5" xfId="3" applyNumberFormat="1" applyFont="1" applyBorder="1" applyAlignment="1">
      <alignment horizontal="right"/>
    </xf>
    <xf numFmtId="10" fontId="11" fillId="0" borderId="5" xfId="3" applyNumberFormat="1" applyBorder="1" applyAlignment="1">
      <alignment horizontal="right"/>
    </xf>
    <xf numFmtId="10" fontId="11" fillId="0" borderId="5" xfId="2" applyNumberFormat="1" applyFont="1" applyBorder="1" applyAlignment="1">
      <alignment horizontal="right"/>
    </xf>
    <xf numFmtId="43" fontId="11" fillId="0" borderId="5" xfId="3" applyNumberFormat="1" applyBorder="1" applyAlignment="1">
      <alignment horizontal="center"/>
    </xf>
    <xf numFmtId="0" fontId="19" fillId="11" borderId="15" xfId="5" applyFont="1" applyFill="1" applyBorder="1" applyAlignment="1">
      <alignment vertical="center" wrapText="1"/>
    </xf>
    <xf numFmtId="9" fontId="11" fillId="0" borderId="5" xfId="2" applyFont="1" applyBorder="1" applyAlignment="1">
      <alignment horizontal="center"/>
    </xf>
    <xf numFmtId="9" fontId="11" fillId="0" borderId="5" xfId="3" applyNumberFormat="1" applyBorder="1" applyAlignment="1">
      <alignment horizontal="center"/>
    </xf>
    <xf numFmtId="43" fontId="11" fillId="0" borderId="5" xfId="1" applyFont="1" applyBorder="1" applyAlignment="1">
      <alignment horizontal="center"/>
    </xf>
    <xf numFmtId="0" fontId="0" fillId="8" borderId="0" xfId="0" applyFill="1" applyAlignment="1"/>
    <xf numFmtId="0" fontId="19" fillId="11" borderId="15" xfId="13" applyFont="1" applyFill="1" applyBorder="1" applyAlignment="1">
      <alignment vertical="center" wrapText="1"/>
    </xf>
    <xf numFmtId="49" fontId="19" fillId="0" borderId="5" xfId="16" applyNumberFormat="1" applyFont="1" applyBorder="1" applyAlignment="1">
      <alignment wrapText="1"/>
    </xf>
    <xf numFmtId="49" fontId="19" fillId="0" borderId="5" xfId="14" applyNumberFormat="1" applyFont="1" applyBorder="1"/>
    <xf numFmtId="0" fontId="11" fillId="0" borderId="0" xfId="3"/>
    <xf numFmtId="0" fontId="21" fillId="0" borderId="0" xfId="3" applyFont="1"/>
    <xf numFmtId="0" fontId="13" fillId="0" borderId="0" xfId="3" applyFont="1"/>
    <xf numFmtId="0" fontId="11" fillId="0" borderId="0" xfId="3" applyAlignment="1">
      <alignment wrapText="1"/>
    </xf>
    <xf numFmtId="0" fontId="23" fillId="0" borderId="0" xfId="3" applyFont="1"/>
    <xf numFmtId="0" fontId="23" fillId="0" borderId="0" xfId="3" applyFont="1" applyAlignment="1">
      <alignment vertical="center"/>
    </xf>
    <xf numFmtId="0" fontId="2" fillId="8" borderId="1" xfId="0" applyFont="1" applyFill="1" applyBorder="1" applyAlignment="1">
      <alignment horizontal="center" wrapText="1"/>
    </xf>
    <xf numFmtId="164" fontId="4" fillId="8" borderId="0" xfId="0" applyNumberFormat="1" applyFont="1" applyFill="1" applyAlignment="1">
      <alignment wrapText="1"/>
    </xf>
    <xf numFmtId="164" fontId="4" fillId="8" borderId="0" xfId="0" applyNumberFormat="1" applyFont="1" applyFill="1" applyAlignment="1">
      <alignment horizontal="right" wrapText="1"/>
    </xf>
    <xf numFmtId="10" fontId="4" fillId="8" borderId="0" xfId="0" applyNumberFormat="1" applyFont="1" applyFill="1" applyAlignment="1">
      <alignment horizontal="right" wrapText="1"/>
    </xf>
    <xf numFmtId="165" fontId="3" fillId="8" borderId="3" xfId="0" applyNumberFormat="1" applyFont="1" applyFill="1" applyBorder="1" applyAlignment="1">
      <alignment horizontal="right" wrapText="1"/>
    </xf>
    <xf numFmtId="10" fontId="3" fillId="8" borderId="3" xfId="0" applyNumberFormat="1" applyFont="1" applyFill="1" applyBorder="1" applyAlignment="1">
      <alignment horizontal="right" wrapText="1"/>
    </xf>
    <xf numFmtId="0" fontId="0" fillId="8" borderId="0" xfId="0" applyFill="1"/>
    <xf numFmtId="0" fontId="12" fillId="0" borderId="0" xfId="3" applyFont="1" applyAlignment="1">
      <alignment horizontal="left"/>
    </xf>
    <xf numFmtId="0" fontId="11" fillId="0" borderId="0" xfId="3" applyAlignment="1">
      <alignment horizontal="left" wrapText="1"/>
    </xf>
    <xf numFmtId="0" fontId="20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22" fillId="0" borderId="0" xfId="3" applyFont="1" applyAlignment="1">
      <alignment horizontal="right"/>
    </xf>
    <xf numFmtId="0" fontId="12" fillId="10" borderId="5" xfId="3" applyFont="1" applyFill="1" applyBorder="1" applyAlignment="1">
      <alignment horizontal="center"/>
    </xf>
    <xf numFmtId="0" fontId="11" fillId="10" borderId="5" xfId="3" applyFill="1" applyBorder="1" applyAlignment="1">
      <alignment horizontal="center"/>
    </xf>
    <xf numFmtId="0" fontId="12" fillId="9" borderId="5" xfId="3" applyFont="1" applyFill="1" applyBorder="1" applyAlignment="1">
      <alignment horizontal="center"/>
    </xf>
    <xf numFmtId="0" fontId="11" fillId="9" borderId="5" xfId="3" applyFill="1" applyBorder="1" applyAlignment="1">
      <alignment horizontal="center"/>
    </xf>
    <xf numFmtId="0" fontId="12" fillId="0" borderId="0" xfId="3" applyFont="1" applyAlignment="1">
      <alignment horizontal="left"/>
    </xf>
    <xf numFmtId="0" fontId="11" fillId="0" borderId="0" xfId="3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0" fontId="0" fillId="8" borderId="0" xfId="0" applyFill="1" applyAlignment="1">
      <alignment wrapText="1"/>
    </xf>
    <xf numFmtId="0" fontId="11" fillId="9" borderId="5" xfId="3" applyFill="1" applyBorder="1" applyAlignment="1">
      <alignment horizontal="left"/>
    </xf>
    <xf numFmtId="43" fontId="11" fillId="9" borderId="5" xfId="3" applyNumberFormat="1" applyFill="1" applyBorder="1" applyAlignment="1">
      <alignment horizontal="right"/>
    </xf>
    <xf numFmtId="10" fontId="11" fillId="9" borderId="5" xfId="2" applyNumberFormat="1" applyFont="1" applyFill="1" applyBorder="1" applyAlignment="1">
      <alignment horizontal="right"/>
    </xf>
  </cellXfs>
  <cellStyles count="18">
    <cellStyle name="Comma" xfId="1" builtinId="3"/>
    <cellStyle name="Comma 2" xfId="7" xr:uid="{D2F7B387-0E0A-4186-AC92-047B4922DCCD}"/>
    <cellStyle name="Comma 2 2" xfId="11" xr:uid="{C45D40BA-EE61-4B2D-8408-D2F87435086C}"/>
    <cellStyle name="Comma 2 2 2" xfId="12" xr:uid="{B3BCAC26-6F7C-4A34-A584-8A895AA47DD7}"/>
    <cellStyle name="Currency 2" xfId="15" xr:uid="{B934DE8C-D70B-4726-9887-ED8B4D7BCE62}"/>
    <cellStyle name="Currency 3" xfId="8" xr:uid="{A47D3F2F-3BEE-4441-B242-EACD3081BEB8}"/>
    <cellStyle name="Normal" xfId="0" builtinId="0"/>
    <cellStyle name="Normal 2" xfId="6" xr:uid="{6E385594-AD42-4C09-96B6-BEE4FDF2C251}"/>
    <cellStyle name="Normal 2 2" xfId="4" xr:uid="{49AC3A79-276C-4323-BE0C-52ED17AE0235}"/>
    <cellStyle name="Normal 2 2 2" xfId="14" xr:uid="{4C71F6BF-E830-46DB-8C94-1D6F8CFBA6ED}"/>
    <cellStyle name="Normal 2 2 3" xfId="13" xr:uid="{B16D8B31-E16C-4A5D-BDA2-1CEA03E44CB5}"/>
    <cellStyle name="Normal 3" xfId="3" xr:uid="{82F8871C-261F-4005-A366-4EC2670BD9DA}"/>
    <cellStyle name="Normal 4" xfId="16" xr:uid="{9DF0A0DA-2EE8-4DE9-A664-E551B97162AE}"/>
    <cellStyle name="Normal 5" xfId="10" xr:uid="{E3145F26-4C28-421C-8FC8-A3022D8EC5DA}"/>
    <cellStyle name="Normal 6" xfId="5" xr:uid="{CD853E8B-E56D-4AFC-9722-A4B5C9674E6B}"/>
    <cellStyle name="Percent" xfId="2" builtinId="5"/>
    <cellStyle name="Percent 2" xfId="17" xr:uid="{4D55E847-D399-467D-9C22-89CC46E308A1}"/>
    <cellStyle name="Percent 3" xfId="9" xr:uid="{0E55ECCB-E779-474A-AEA8-CB45CFD66D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59/home59$/Users/Avolon/Downloads/Brighten%20-%20August%202019%20Financials%20TH%209.23.2019%20-%20OY9.23%20-%20Client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s Actual Detail"/>
      <sheetName val="Budget vs Actual Summary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9351-55E6-4095-B54B-DFF317BA9ECF}">
  <sheetPr>
    <pageSetUpPr fitToPage="1"/>
  </sheetPr>
  <dimension ref="A1:M51"/>
  <sheetViews>
    <sheetView tabSelected="1" zoomScaleNormal="100" workbookViewId="0">
      <selection activeCell="D3" sqref="D3"/>
    </sheetView>
  </sheetViews>
  <sheetFormatPr defaultColWidth="9.140625" defaultRowHeight="15" x14ac:dyDescent="0.25"/>
  <cols>
    <col min="1" max="1" width="3.42578125" style="100" customWidth="1"/>
    <col min="2" max="2" width="4" style="100" customWidth="1"/>
    <col min="3" max="3" width="103" style="100" customWidth="1"/>
    <col min="4" max="4" width="30.42578125" style="100" customWidth="1"/>
    <col min="5" max="16384" width="9.140625" style="100"/>
  </cols>
  <sheetData>
    <row r="1" spans="1:13" ht="18.75" x14ac:dyDescent="0.3">
      <c r="A1" s="115" t="s">
        <v>431</v>
      </c>
      <c r="B1" s="115"/>
      <c r="C1" s="115"/>
    </row>
    <row r="2" spans="1:13" ht="18.75" x14ac:dyDescent="0.3">
      <c r="A2" s="115" t="s">
        <v>398</v>
      </c>
      <c r="B2" s="115"/>
      <c r="C2" s="115"/>
    </row>
    <row r="3" spans="1:13" ht="18.75" x14ac:dyDescent="0.3">
      <c r="A3" s="115" t="s">
        <v>399</v>
      </c>
      <c r="B3" s="115"/>
      <c r="C3" s="115"/>
    </row>
    <row r="4" spans="1:13" x14ac:dyDescent="0.25">
      <c r="A4" s="116"/>
      <c r="B4" s="116"/>
      <c r="C4" s="116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x14ac:dyDescent="0.25">
      <c r="A5" s="117" t="s">
        <v>400</v>
      </c>
      <c r="B5" s="117"/>
      <c r="C5" s="117"/>
    </row>
    <row r="6" spans="1:13" x14ac:dyDescent="0.25">
      <c r="A6" s="117" t="s">
        <v>414</v>
      </c>
      <c r="B6" s="117"/>
      <c r="C6" s="117"/>
    </row>
    <row r="8" spans="1:13" x14ac:dyDescent="0.25">
      <c r="A8" s="102" t="s">
        <v>401</v>
      </c>
      <c r="C8" s="103"/>
    </row>
    <row r="9" spans="1:13" x14ac:dyDescent="0.25">
      <c r="A9" s="102"/>
      <c r="C9" s="103"/>
    </row>
    <row r="10" spans="1:13" x14ac:dyDescent="0.25">
      <c r="A10" s="102" t="s">
        <v>402</v>
      </c>
      <c r="C10" s="103"/>
    </row>
    <row r="11" spans="1:13" x14ac:dyDescent="0.25">
      <c r="A11" s="102"/>
      <c r="B11" s="114" t="s">
        <v>416</v>
      </c>
      <c r="C11" s="114"/>
    </row>
    <row r="12" spans="1:13" x14ac:dyDescent="0.25">
      <c r="A12" s="102"/>
      <c r="B12" s="114"/>
      <c r="C12" s="114"/>
    </row>
    <row r="13" spans="1:13" x14ac:dyDescent="0.25">
      <c r="A13" s="102"/>
      <c r="C13" s="103"/>
    </row>
    <row r="14" spans="1:13" x14ac:dyDescent="0.25">
      <c r="A14" s="102" t="s">
        <v>403</v>
      </c>
      <c r="C14" s="103"/>
    </row>
    <row r="15" spans="1:13" x14ac:dyDescent="0.25">
      <c r="A15" s="102"/>
      <c r="B15" s="114" t="s">
        <v>417</v>
      </c>
      <c r="C15" s="114"/>
    </row>
    <row r="16" spans="1:13" x14ac:dyDescent="0.25">
      <c r="A16" s="102"/>
      <c r="C16" s="103"/>
    </row>
    <row r="17" spans="1:3" x14ac:dyDescent="0.25">
      <c r="A17" s="102" t="s">
        <v>405</v>
      </c>
      <c r="C17" s="103"/>
    </row>
    <row r="18" spans="1:3" x14ac:dyDescent="0.25">
      <c r="A18" s="102"/>
      <c r="B18" s="114" t="s">
        <v>404</v>
      </c>
      <c r="C18" s="114"/>
    </row>
    <row r="19" spans="1:3" x14ac:dyDescent="0.25">
      <c r="A19" s="102"/>
      <c r="C19" s="103"/>
    </row>
    <row r="20" spans="1:3" x14ac:dyDescent="0.25">
      <c r="A20" s="102">
        <v>1</v>
      </c>
      <c r="B20" s="104" t="s">
        <v>406</v>
      </c>
      <c r="C20" s="103"/>
    </row>
    <row r="21" spans="1:3" ht="30" x14ac:dyDescent="0.25">
      <c r="A21" s="102"/>
      <c r="B21" s="104" t="s">
        <v>407</v>
      </c>
      <c r="C21" s="103" t="s">
        <v>415</v>
      </c>
    </row>
    <row r="22" spans="1:3" ht="30" x14ac:dyDescent="0.25">
      <c r="A22" s="102"/>
      <c r="B22" s="104" t="s">
        <v>407</v>
      </c>
      <c r="C22" s="103" t="s">
        <v>418</v>
      </c>
    </row>
    <row r="23" spans="1:3" ht="45.75" customHeight="1" x14ac:dyDescent="0.25">
      <c r="A23" s="102"/>
      <c r="B23" s="104" t="s">
        <v>407</v>
      </c>
      <c r="C23" s="103" t="s">
        <v>429</v>
      </c>
    </row>
    <row r="24" spans="1:3" x14ac:dyDescent="0.25">
      <c r="A24" s="102"/>
      <c r="B24" s="104"/>
      <c r="C24" s="103"/>
    </row>
    <row r="25" spans="1:3" x14ac:dyDescent="0.25">
      <c r="A25" s="102">
        <v>2</v>
      </c>
      <c r="B25" s="104" t="s">
        <v>261</v>
      </c>
      <c r="C25" s="103"/>
    </row>
    <row r="26" spans="1:3" x14ac:dyDescent="0.25">
      <c r="A26" s="102"/>
      <c r="B26" s="105" t="s">
        <v>407</v>
      </c>
      <c r="C26" s="103" t="s">
        <v>419</v>
      </c>
    </row>
    <row r="27" spans="1:3" x14ac:dyDescent="0.25">
      <c r="A27" s="102"/>
      <c r="B27" s="104"/>
      <c r="C27" s="103"/>
    </row>
    <row r="28" spans="1:3" x14ac:dyDescent="0.25">
      <c r="A28" s="102">
        <v>3</v>
      </c>
      <c r="B28" s="104" t="s">
        <v>408</v>
      </c>
      <c r="C28" s="103"/>
    </row>
    <row r="29" spans="1:3" x14ac:dyDescent="0.25">
      <c r="A29" s="102"/>
      <c r="B29" s="104" t="s">
        <v>407</v>
      </c>
      <c r="C29" s="103" t="s">
        <v>420</v>
      </c>
    </row>
    <row r="30" spans="1:3" x14ac:dyDescent="0.25">
      <c r="A30" s="102"/>
      <c r="B30" s="104" t="s">
        <v>407</v>
      </c>
      <c r="C30" s="103" t="s">
        <v>421</v>
      </c>
    </row>
    <row r="31" spans="1:3" x14ac:dyDescent="0.25">
      <c r="A31" s="102"/>
      <c r="B31" s="104" t="s">
        <v>407</v>
      </c>
      <c r="C31" s="103" t="s">
        <v>422</v>
      </c>
    </row>
    <row r="32" spans="1:3" x14ac:dyDescent="0.25">
      <c r="A32" s="102"/>
      <c r="B32" s="104"/>
      <c r="C32" s="103"/>
    </row>
    <row r="33" spans="1:3" x14ac:dyDescent="0.25">
      <c r="A33" s="102"/>
      <c r="B33" s="104"/>
      <c r="C33" s="103"/>
    </row>
    <row r="34" spans="1:3" x14ac:dyDescent="0.25">
      <c r="A34" s="102">
        <v>4</v>
      </c>
      <c r="B34" s="104" t="s">
        <v>409</v>
      </c>
      <c r="C34" s="103"/>
    </row>
    <row r="35" spans="1:3" x14ac:dyDescent="0.25">
      <c r="A35" s="102"/>
      <c r="B35" s="104" t="s">
        <v>407</v>
      </c>
      <c r="C35" s="103" t="s">
        <v>410</v>
      </c>
    </row>
    <row r="36" spans="1:3" x14ac:dyDescent="0.25">
      <c r="A36" s="102"/>
      <c r="B36" s="104"/>
      <c r="C36" s="103"/>
    </row>
    <row r="37" spans="1:3" x14ac:dyDescent="0.25">
      <c r="A37" s="102">
        <v>5</v>
      </c>
      <c r="B37" s="104" t="s">
        <v>411</v>
      </c>
      <c r="C37" s="103"/>
    </row>
    <row r="38" spans="1:3" x14ac:dyDescent="0.25">
      <c r="A38" s="102"/>
      <c r="B38" s="104" t="s">
        <v>407</v>
      </c>
      <c r="C38" s="103" t="s">
        <v>410</v>
      </c>
    </row>
    <row r="39" spans="1:3" x14ac:dyDescent="0.25">
      <c r="A39" s="102"/>
      <c r="B39" s="104"/>
      <c r="C39" s="103"/>
    </row>
    <row r="40" spans="1:3" x14ac:dyDescent="0.25">
      <c r="A40" s="102">
        <v>6</v>
      </c>
      <c r="B40" s="104" t="s">
        <v>412</v>
      </c>
      <c r="C40" s="103"/>
    </row>
    <row r="41" spans="1:3" x14ac:dyDescent="0.25">
      <c r="A41" s="102"/>
      <c r="B41" s="104" t="s">
        <v>407</v>
      </c>
      <c r="C41" s="103" t="s">
        <v>410</v>
      </c>
    </row>
    <row r="42" spans="1:3" x14ac:dyDescent="0.25">
      <c r="A42" s="102"/>
      <c r="B42" s="104"/>
      <c r="C42" s="103"/>
    </row>
    <row r="43" spans="1:3" x14ac:dyDescent="0.25">
      <c r="A43" s="102">
        <v>7</v>
      </c>
      <c r="B43" s="104" t="s">
        <v>424</v>
      </c>
      <c r="C43" s="103"/>
    </row>
    <row r="44" spans="1:3" x14ac:dyDescent="0.25">
      <c r="A44" s="102"/>
      <c r="B44" s="104" t="s">
        <v>407</v>
      </c>
      <c r="C44" s="103" t="s">
        <v>425</v>
      </c>
    </row>
    <row r="45" spans="1:3" x14ac:dyDescent="0.25">
      <c r="A45" s="102"/>
      <c r="B45" s="104" t="s">
        <v>407</v>
      </c>
      <c r="C45" s="103" t="s">
        <v>427</v>
      </c>
    </row>
    <row r="46" spans="1:3" x14ac:dyDescent="0.25">
      <c r="A46" s="102"/>
      <c r="B46" s="104" t="s">
        <v>407</v>
      </c>
      <c r="C46" s="103" t="s">
        <v>426</v>
      </c>
    </row>
    <row r="47" spans="1:3" x14ac:dyDescent="0.25">
      <c r="A47" s="102"/>
      <c r="B47" s="104"/>
      <c r="C47" s="103"/>
    </row>
    <row r="48" spans="1:3" x14ac:dyDescent="0.25">
      <c r="A48" s="102">
        <v>8</v>
      </c>
      <c r="B48" s="104" t="s">
        <v>413</v>
      </c>
      <c r="C48" s="103"/>
    </row>
    <row r="49" spans="1:3" x14ac:dyDescent="0.25">
      <c r="A49" s="102"/>
      <c r="B49" s="104" t="s">
        <v>407</v>
      </c>
      <c r="C49" s="103" t="s">
        <v>423</v>
      </c>
    </row>
    <row r="50" spans="1:3" x14ac:dyDescent="0.25">
      <c r="B50" s="104" t="s">
        <v>407</v>
      </c>
      <c r="C50" s="100" t="s">
        <v>428</v>
      </c>
    </row>
    <row r="51" spans="1:3" x14ac:dyDescent="0.25">
      <c r="B51" s="104"/>
    </row>
  </sheetData>
  <mergeCells count="9">
    <mergeCell ref="B11:C12"/>
    <mergeCell ref="B15:C15"/>
    <mergeCell ref="B18:C18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3DF87-4F6C-4877-972F-989E3A302907}">
  <sheetPr>
    <pageSetUpPr fitToPage="1"/>
  </sheetPr>
  <dimension ref="A1:L56"/>
  <sheetViews>
    <sheetView topLeftCell="A20" workbookViewId="0">
      <selection activeCell="M10" sqref="M10"/>
    </sheetView>
  </sheetViews>
  <sheetFormatPr defaultRowHeight="15" x14ac:dyDescent="0.25"/>
  <cols>
    <col min="1" max="1" width="27.85546875" style="48" customWidth="1"/>
    <col min="2" max="2" width="20.28515625" style="48" customWidth="1"/>
    <col min="3" max="3" width="24" style="48" customWidth="1"/>
    <col min="4" max="4" width="21.140625" style="48" customWidth="1"/>
    <col min="5" max="5" width="18" style="48" customWidth="1"/>
    <col min="6" max="6" width="9.140625" style="48"/>
    <col min="7" max="7" width="60.140625" style="48" customWidth="1"/>
    <col min="8" max="8" width="30.7109375" style="48" customWidth="1"/>
    <col min="9" max="9" width="21.7109375" style="48" customWidth="1"/>
    <col min="10" max="10" width="26.140625" style="48" customWidth="1"/>
    <col min="11" max="11" width="20.85546875" style="48" customWidth="1"/>
    <col min="12" max="16384" width="9.140625" style="48"/>
  </cols>
  <sheetData>
    <row r="1" spans="1:11" x14ac:dyDescent="0.25">
      <c r="A1" s="122" t="s">
        <v>392</v>
      </c>
      <c r="B1" s="123"/>
      <c r="C1" s="123"/>
      <c r="D1" s="123"/>
    </row>
    <row r="2" spans="1:11" s="100" customFormat="1" x14ac:dyDescent="0.25">
      <c r="A2" s="113" t="s">
        <v>430</v>
      </c>
      <c r="B2" s="82"/>
      <c r="C2" s="82"/>
      <c r="D2" s="82"/>
    </row>
    <row r="3" spans="1:11" s="100" customFormat="1" x14ac:dyDescent="0.25">
      <c r="A3" s="113" t="s">
        <v>63</v>
      </c>
      <c r="B3" s="82"/>
      <c r="C3" s="82"/>
      <c r="D3" s="82"/>
    </row>
    <row r="4" spans="1:11" s="100" customFormat="1" x14ac:dyDescent="0.25">
      <c r="A4" s="113"/>
      <c r="B4" s="82"/>
      <c r="C4" s="82"/>
      <c r="D4" s="82"/>
    </row>
    <row r="5" spans="1:11" x14ac:dyDescent="0.25">
      <c r="A5" s="120" t="s">
        <v>292</v>
      </c>
      <c r="B5" s="121"/>
      <c r="C5" s="121"/>
      <c r="D5" s="121"/>
      <c r="G5" s="120" t="s">
        <v>293</v>
      </c>
      <c r="H5" s="121"/>
    </row>
    <row r="6" spans="1:11" x14ac:dyDescent="0.25">
      <c r="A6" s="118" t="s">
        <v>393</v>
      </c>
      <c r="B6" s="119"/>
      <c r="C6" s="119"/>
      <c r="D6" s="119"/>
      <c r="G6" s="118" t="s">
        <v>294</v>
      </c>
      <c r="H6" s="119"/>
    </row>
    <row r="7" spans="1:11" x14ac:dyDescent="0.25">
      <c r="A7" s="50"/>
      <c r="B7" s="51" t="s">
        <v>262</v>
      </c>
      <c r="C7" s="51" t="s">
        <v>261</v>
      </c>
      <c r="D7" s="51" t="s">
        <v>295</v>
      </c>
      <c r="G7" s="52" t="s">
        <v>296</v>
      </c>
      <c r="H7" s="86">
        <f>E23</f>
        <v>4197167.9000000004</v>
      </c>
    </row>
    <row r="8" spans="1:11" x14ac:dyDescent="0.25">
      <c r="A8" s="52" t="s">
        <v>258</v>
      </c>
      <c r="B8" s="83">
        <f>'Budget vs. Actuals Details'!L30</f>
        <v>5344359.57</v>
      </c>
      <c r="C8" s="83">
        <f>'Budget vs. Actuals Details'!M30</f>
        <v>6289632.8900000006</v>
      </c>
      <c r="D8" s="84">
        <f>B8-C8</f>
        <v>-945273.3200000003</v>
      </c>
      <c r="G8" s="52" t="s">
        <v>297</v>
      </c>
      <c r="H8" s="83">
        <f>B9</f>
        <v>5156312.7100000009</v>
      </c>
    </row>
    <row r="9" spans="1:11" x14ac:dyDescent="0.25">
      <c r="A9" s="52" t="s">
        <v>298</v>
      </c>
      <c r="B9" s="83">
        <f>'Budget vs. Actuals Details'!L196+'Budget vs. Actuals Details'!L33</f>
        <v>5156312.7100000009</v>
      </c>
      <c r="C9" s="83">
        <f>'Budget vs. Actuals Details'!M196</f>
        <v>6176483.7999999998</v>
      </c>
      <c r="D9" s="84">
        <f>B9-C9</f>
        <v>-1020171.0899999989</v>
      </c>
      <c r="G9" s="52" t="s">
        <v>299</v>
      </c>
      <c r="H9" s="85">
        <f>H7/H8*365</f>
        <v>297.10499918458197</v>
      </c>
    </row>
    <row r="10" spans="1:11" x14ac:dyDescent="0.25">
      <c r="A10" s="52" t="s">
        <v>300</v>
      </c>
      <c r="B10" s="83">
        <f>B8-B9</f>
        <v>188046.8599999994</v>
      </c>
      <c r="C10" s="83">
        <f t="shared" ref="C10:D10" si="0">C8-C9</f>
        <v>113149.09000000078</v>
      </c>
      <c r="D10" s="83">
        <f t="shared" si="0"/>
        <v>74897.769999998622</v>
      </c>
      <c r="G10" s="52" t="s">
        <v>301</v>
      </c>
      <c r="H10" s="85">
        <v>7138762.6799999997</v>
      </c>
    </row>
    <row r="11" spans="1:11" x14ac:dyDescent="0.25">
      <c r="G11" s="52" t="s">
        <v>302</v>
      </c>
      <c r="H11" s="85">
        <f>H7/H10*365</f>
        <v>214.59829275344399</v>
      </c>
    </row>
    <row r="12" spans="1:11" x14ac:dyDescent="0.25">
      <c r="A12" s="120" t="s">
        <v>303</v>
      </c>
      <c r="B12" s="121"/>
      <c r="C12" s="121"/>
      <c r="D12" s="121"/>
    </row>
    <row r="13" spans="1:11" x14ac:dyDescent="0.25">
      <c r="A13" s="118" t="s">
        <v>304</v>
      </c>
      <c r="B13" s="119"/>
      <c r="C13" s="119"/>
      <c r="D13" s="119"/>
      <c r="G13" s="120" t="s">
        <v>305</v>
      </c>
      <c r="H13" s="121"/>
      <c r="I13" s="121"/>
      <c r="J13" s="121"/>
      <c r="K13" s="121"/>
    </row>
    <row r="14" spans="1:11" x14ac:dyDescent="0.25">
      <c r="A14" s="50"/>
      <c r="B14" s="51" t="s">
        <v>262</v>
      </c>
      <c r="C14" s="51" t="s">
        <v>261</v>
      </c>
      <c r="D14" s="51" t="s">
        <v>295</v>
      </c>
      <c r="G14" s="118" t="s">
        <v>294</v>
      </c>
      <c r="H14" s="119"/>
      <c r="I14" s="119"/>
      <c r="J14" s="119"/>
      <c r="K14" s="119"/>
    </row>
    <row r="15" spans="1:11" x14ac:dyDescent="0.25">
      <c r="A15" s="52" t="s">
        <v>258</v>
      </c>
      <c r="B15" s="83">
        <f>'Budget vs. Actuals Details'!K34</f>
        <v>603569.72000000009</v>
      </c>
      <c r="C15" s="85">
        <f>'Annual Budget'!AM34</f>
        <v>652093.98</v>
      </c>
      <c r="D15" s="83">
        <f>B15-C15</f>
        <v>-48524.259999999893</v>
      </c>
      <c r="G15" s="50" t="s">
        <v>306</v>
      </c>
      <c r="H15" s="51" t="s">
        <v>298</v>
      </c>
      <c r="I15" s="51" t="s">
        <v>307</v>
      </c>
      <c r="J15" s="54" t="s">
        <v>308</v>
      </c>
      <c r="K15" s="51" t="s">
        <v>309</v>
      </c>
    </row>
    <row r="16" spans="1:11" x14ac:dyDescent="0.25">
      <c r="A16" s="52" t="s">
        <v>298</v>
      </c>
      <c r="B16" s="83">
        <f>'Budget vs. Actuals Details'!K196</f>
        <v>441623.45</v>
      </c>
      <c r="C16" s="85">
        <f>'Annual Budget'!AM196</f>
        <v>658910.42000000004</v>
      </c>
      <c r="D16" s="83">
        <f>B16-C16</f>
        <v>-217286.97000000003</v>
      </c>
      <c r="G16" s="52" t="s">
        <v>310</v>
      </c>
      <c r="H16" s="83">
        <f>'Budget Vs Actual Summary'!L56</f>
        <v>3318287.21</v>
      </c>
      <c r="I16" s="89">
        <f>H16/$H$35</f>
        <v>0.65361244489352499</v>
      </c>
      <c r="J16" s="55"/>
      <c r="K16" s="55">
        <v>70</v>
      </c>
    </row>
    <row r="17" spans="1:11" x14ac:dyDescent="0.25">
      <c r="A17" s="52" t="s">
        <v>300</v>
      </c>
      <c r="B17" s="83">
        <f>B15-B16</f>
        <v>161946.27000000008</v>
      </c>
      <c r="C17" s="83">
        <f t="shared" ref="C17:D17" si="1">C15-C16</f>
        <v>-6816.4400000000605</v>
      </c>
      <c r="D17" s="83">
        <f t="shared" si="1"/>
        <v>168762.71000000014</v>
      </c>
      <c r="G17" s="52" t="s">
        <v>311</v>
      </c>
      <c r="H17" s="83">
        <f>'Budget Vs Actual Summary'!L66</f>
        <v>119700.54000000001</v>
      </c>
      <c r="I17" s="90">
        <f t="shared" ref="I17:I34" si="2">H17/$H$35</f>
        <v>2.3577754923894963E-2</v>
      </c>
      <c r="J17" s="55"/>
      <c r="K17" s="55"/>
    </row>
    <row r="18" spans="1:11" x14ac:dyDescent="0.25">
      <c r="G18" s="52" t="s">
        <v>312</v>
      </c>
      <c r="H18" s="83">
        <f>'Budget Vs Actual Summary'!L71</f>
        <v>3572.88</v>
      </c>
      <c r="I18" s="90">
        <f t="shared" si="2"/>
        <v>7.0376030895504601E-4</v>
      </c>
      <c r="J18" s="55"/>
      <c r="K18" s="55"/>
    </row>
    <row r="19" spans="1:11" ht="15.75" thickBot="1" x14ac:dyDescent="0.3">
      <c r="A19" s="56" t="s">
        <v>313</v>
      </c>
      <c r="B19" s="57"/>
      <c r="C19" s="57"/>
      <c r="D19" s="57"/>
      <c r="E19" s="58" t="s">
        <v>314</v>
      </c>
      <c r="G19" s="132" t="s">
        <v>315</v>
      </c>
      <c r="H19" s="133">
        <f>'Budget Vs Actual Summary'!L59</f>
        <v>0</v>
      </c>
      <c r="I19" s="134">
        <f t="shared" si="2"/>
        <v>0</v>
      </c>
      <c r="J19" s="49"/>
      <c r="K19" s="49"/>
    </row>
    <row r="20" spans="1:11" ht="15.75" thickTop="1" x14ac:dyDescent="0.25">
      <c r="A20" s="59"/>
      <c r="B20" s="60"/>
      <c r="C20" s="60"/>
      <c r="D20" s="60"/>
      <c r="E20" s="61"/>
      <c r="G20" s="52" t="s">
        <v>316</v>
      </c>
      <c r="H20" s="83">
        <f>'Budget Vs Actual Summary'!L78</f>
        <v>62539.440000000017</v>
      </c>
      <c r="I20" s="90">
        <f t="shared" si="2"/>
        <v>1.231857090534123E-2</v>
      </c>
      <c r="J20" s="55"/>
      <c r="K20" s="55"/>
    </row>
    <row r="21" spans="1:11" x14ac:dyDescent="0.25">
      <c r="A21" s="62" t="s">
        <v>1</v>
      </c>
      <c r="B21" s="63"/>
      <c r="C21" s="63"/>
      <c r="D21" s="63"/>
      <c r="E21" s="64"/>
      <c r="G21" s="52" t="s">
        <v>317</v>
      </c>
      <c r="H21" s="83">
        <f>0</f>
        <v>0</v>
      </c>
      <c r="I21" s="90">
        <f t="shared" si="2"/>
        <v>0</v>
      </c>
      <c r="J21" s="55"/>
      <c r="K21" s="55"/>
    </row>
    <row r="22" spans="1:11" x14ac:dyDescent="0.25">
      <c r="A22" s="65"/>
      <c r="B22" s="66" t="s">
        <v>318</v>
      </c>
      <c r="C22" s="63"/>
      <c r="D22" s="63"/>
      <c r="E22" s="64"/>
      <c r="G22" s="52" t="s">
        <v>319</v>
      </c>
      <c r="H22" s="83">
        <f>'Budget Vs Actual Summary'!L90</f>
        <v>64082.52</v>
      </c>
      <c r="I22" s="90">
        <f t="shared" si="2"/>
        <v>1.2622515750268105E-2</v>
      </c>
      <c r="J22" s="55"/>
      <c r="K22" s="55"/>
    </row>
    <row r="23" spans="1:11" x14ac:dyDescent="0.25">
      <c r="A23" s="65"/>
      <c r="B23" s="63"/>
      <c r="C23" s="66" t="s">
        <v>320</v>
      </c>
      <c r="D23" s="63"/>
      <c r="E23" s="67">
        <f>'Balance Sheet'!B15</f>
        <v>4197167.9000000004</v>
      </c>
      <c r="G23" s="52" t="s">
        <v>321</v>
      </c>
      <c r="H23" s="83">
        <f>'Budget Vs Actual Summary'!L130+'Budget Vs Actual Summary'!L188</f>
        <v>529206.85</v>
      </c>
      <c r="I23" s="90">
        <f t="shared" si="2"/>
        <v>0.10423937447021077</v>
      </c>
      <c r="J23" s="55"/>
      <c r="K23" s="55">
        <v>15</v>
      </c>
    </row>
    <row r="24" spans="1:11" ht="15.75" thickBot="1" x14ac:dyDescent="0.3">
      <c r="A24" s="68"/>
      <c r="B24" s="69"/>
      <c r="C24" s="66" t="s">
        <v>322</v>
      </c>
      <c r="D24" s="69"/>
      <c r="E24" s="70">
        <f>'Balance Sheet'!B20+'Balance Sheet'!B29</f>
        <v>2865378.9699999997</v>
      </c>
      <c r="G24" s="52" t="s">
        <v>323</v>
      </c>
      <c r="H24" s="83">
        <f>'Budget Vs Actual Summary'!L145</f>
        <v>154605.42999999996</v>
      </c>
      <c r="I24" s="90">
        <f t="shared" si="2"/>
        <v>3.045307012352156E-2</v>
      </c>
      <c r="J24" s="55"/>
      <c r="K24" s="55"/>
    </row>
    <row r="25" spans="1:11" x14ac:dyDescent="0.25">
      <c r="A25" s="68"/>
      <c r="B25" s="66" t="s">
        <v>324</v>
      </c>
      <c r="C25" s="69"/>
      <c r="D25" s="69"/>
      <c r="E25" s="67">
        <f>E24+E23</f>
        <v>7062546.8700000001</v>
      </c>
      <c r="G25" s="52" t="s">
        <v>325</v>
      </c>
      <c r="H25" s="83">
        <f>'Budget Vs Actual Summary'!L171</f>
        <v>477968.72</v>
      </c>
      <c r="I25" s="90">
        <f t="shared" si="2"/>
        <v>9.41468546545218E-2</v>
      </c>
      <c r="J25" s="55"/>
      <c r="K25" s="55">
        <v>15</v>
      </c>
    </row>
    <row r="26" spans="1:11" x14ac:dyDescent="0.25">
      <c r="A26" s="68"/>
      <c r="B26" s="66" t="s">
        <v>326</v>
      </c>
      <c r="C26" s="69"/>
      <c r="D26" s="69"/>
      <c r="E26" s="67">
        <f>'Balance Sheet'!B36</f>
        <v>161844.81999999995</v>
      </c>
      <c r="G26" s="52" t="s">
        <v>327</v>
      </c>
      <c r="H26" s="83">
        <v>0</v>
      </c>
      <c r="I26" s="90">
        <f t="shared" si="2"/>
        <v>0</v>
      </c>
      <c r="J26" s="55"/>
      <c r="K26" s="55"/>
    </row>
    <row r="27" spans="1:11" ht="15.75" thickBot="1" x14ac:dyDescent="0.3">
      <c r="A27" s="68"/>
      <c r="B27" s="66" t="s">
        <v>328</v>
      </c>
      <c r="C27" s="69"/>
      <c r="D27" s="69"/>
      <c r="E27" s="67">
        <v>0</v>
      </c>
      <c r="G27" s="52" t="s">
        <v>329</v>
      </c>
      <c r="H27" s="83">
        <f>'Budget Vs Actual Summary'!L67</f>
        <v>0</v>
      </c>
      <c r="I27" s="90">
        <f t="shared" si="2"/>
        <v>0</v>
      </c>
      <c r="J27" s="55"/>
      <c r="K27" s="55"/>
    </row>
    <row r="28" spans="1:11" ht="15.75" thickBot="1" x14ac:dyDescent="0.3">
      <c r="A28" s="62" t="s">
        <v>32</v>
      </c>
      <c r="B28" s="69"/>
      <c r="C28" s="69"/>
      <c r="D28" s="69"/>
      <c r="E28" s="71">
        <f>SUM(E25:E27)</f>
        <v>7224391.6900000004</v>
      </c>
      <c r="G28" s="52" t="s">
        <v>330</v>
      </c>
      <c r="H28" s="83">
        <f>'Budget Vs Actual Summary'!L68</f>
        <v>0</v>
      </c>
      <c r="I28" s="90">
        <f t="shared" si="2"/>
        <v>0</v>
      </c>
      <c r="J28" s="55"/>
      <c r="K28" s="55"/>
    </row>
    <row r="29" spans="1:11" ht="15.75" thickTop="1" x14ac:dyDescent="0.25">
      <c r="A29" s="72"/>
      <c r="B29" s="73"/>
      <c r="C29" s="73"/>
      <c r="D29" s="73"/>
      <c r="E29" s="74"/>
      <c r="G29" s="52" t="s">
        <v>331</v>
      </c>
      <c r="H29" s="83">
        <f>'Budget Vs Actual Summary'!L178</f>
        <v>272026.53999999998</v>
      </c>
      <c r="I29" s="90">
        <f t="shared" si="2"/>
        <v>5.3581839254151317E-2</v>
      </c>
      <c r="J29" s="55"/>
      <c r="K29" s="55"/>
    </row>
    <row r="30" spans="1:11" x14ac:dyDescent="0.25">
      <c r="A30" s="72"/>
      <c r="B30" s="73"/>
      <c r="C30" s="73"/>
      <c r="D30" s="73"/>
      <c r="E30" s="75"/>
      <c r="G30" s="52" t="s">
        <v>332</v>
      </c>
      <c r="H30" s="83">
        <v>0</v>
      </c>
      <c r="I30" s="90">
        <f t="shared" si="2"/>
        <v>0</v>
      </c>
      <c r="J30" s="55"/>
      <c r="K30" s="55"/>
    </row>
    <row r="31" spans="1:11" x14ac:dyDescent="0.25">
      <c r="A31" s="62" t="s">
        <v>333</v>
      </c>
      <c r="B31" s="69"/>
      <c r="C31" s="69"/>
      <c r="D31" s="69"/>
      <c r="E31" s="67"/>
      <c r="G31" s="52" t="s">
        <v>334</v>
      </c>
      <c r="H31" s="83">
        <f>'Budget Vs Actual Summary'!L185</f>
        <v>24627.279999999999</v>
      </c>
      <c r="I31" s="90">
        <f t="shared" si="2"/>
        <v>4.8509052029517986E-3</v>
      </c>
      <c r="J31" s="55"/>
      <c r="K31" s="55"/>
    </row>
    <row r="32" spans="1:11" x14ac:dyDescent="0.25">
      <c r="A32" s="68"/>
      <c r="B32" s="66" t="s">
        <v>335</v>
      </c>
      <c r="C32" s="69"/>
      <c r="D32" s="69"/>
      <c r="E32" s="67"/>
      <c r="G32" s="52" t="s">
        <v>336</v>
      </c>
      <c r="H32" s="83">
        <f>'Budget Vs Actual Summary'!L72</f>
        <v>0</v>
      </c>
      <c r="I32" s="90">
        <f t="shared" si="2"/>
        <v>0</v>
      </c>
      <c r="J32" s="55"/>
      <c r="K32" s="55"/>
    </row>
    <row r="33" spans="1:12" x14ac:dyDescent="0.25">
      <c r="A33" s="68"/>
      <c r="B33" s="69"/>
      <c r="C33" s="66" t="s">
        <v>337</v>
      </c>
      <c r="D33" s="69"/>
      <c r="E33" s="67"/>
      <c r="G33" s="52" t="s">
        <v>338</v>
      </c>
      <c r="H33" s="83">
        <f>'Budget Vs Actual Summary'!L194</f>
        <v>38710.740000000005</v>
      </c>
      <c r="I33" s="90">
        <f t="shared" si="2"/>
        <v>7.6249642703584948E-3</v>
      </c>
      <c r="J33" s="55"/>
      <c r="K33" s="55"/>
    </row>
    <row r="34" spans="1:12" x14ac:dyDescent="0.25">
      <c r="A34" s="68"/>
      <c r="B34" s="69"/>
      <c r="C34" s="69"/>
      <c r="D34" s="66" t="s">
        <v>339</v>
      </c>
      <c r="E34" s="67">
        <f>'Balance Sheet'!B43</f>
        <v>-8075</v>
      </c>
      <c r="G34" s="52" t="s">
        <v>340</v>
      </c>
      <c r="H34" s="83">
        <f>'Budget Vs Actual Summary'!L186</f>
        <v>11514</v>
      </c>
      <c r="I34" s="90">
        <f t="shared" si="2"/>
        <v>2.2679452422998811E-3</v>
      </c>
      <c r="J34" s="55"/>
      <c r="K34" s="55"/>
    </row>
    <row r="35" spans="1:12" ht="15.75" thickBot="1" x14ac:dyDescent="0.3">
      <c r="A35" s="68"/>
      <c r="B35" s="69"/>
      <c r="C35" s="69"/>
      <c r="D35" s="66" t="s">
        <v>341</v>
      </c>
      <c r="E35" s="70">
        <f>'Balance Sheet'!B46+'Balance Sheet'!B55</f>
        <v>6131617.6600000001</v>
      </c>
      <c r="G35" s="51" t="s">
        <v>342</v>
      </c>
      <c r="H35" s="88">
        <f>SUM(H16:H34)</f>
        <v>5076842.1500000004</v>
      </c>
      <c r="I35" s="53"/>
      <c r="J35" s="55"/>
      <c r="K35" s="55"/>
    </row>
    <row r="36" spans="1:12" x14ac:dyDescent="0.25">
      <c r="A36" s="68"/>
      <c r="B36" s="69"/>
      <c r="C36" s="66" t="s">
        <v>343</v>
      </c>
      <c r="D36" s="69"/>
      <c r="E36" s="67">
        <f>SUM(E34:E35)</f>
        <v>6123542.6600000001</v>
      </c>
      <c r="H36" s="87"/>
    </row>
    <row r="37" spans="1:12" ht="15.75" thickBot="1" x14ac:dyDescent="0.3">
      <c r="A37" s="68"/>
      <c r="B37" s="69"/>
      <c r="C37" s="66" t="s">
        <v>344</v>
      </c>
      <c r="D37" s="69"/>
      <c r="E37" s="70">
        <v>0</v>
      </c>
      <c r="G37" s="120" t="s">
        <v>345</v>
      </c>
      <c r="H37" s="121"/>
      <c r="I37" s="121"/>
      <c r="J37" s="121"/>
      <c r="K37" s="121"/>
      <c r="L37" s="121"/>
    </row>
    <row r="38" spans="1:12" x14ac:dyDescent="0.25">
      <c r="A38" s="68"/>
      <c r="B38" s="66" t="s">
        <v>346</v>
      </c>
      <c r="C38" s="69"/>
      <c r="D38" s="69"/>
      <c r="E38" s="67">
        <f>E36+E37</f>
        <v>6123542.6600000001</v>
      </c>
      <c r="G38" s="118" t="s">
        <v>294</v>
      </c>
      <c r="H38" s="119"/>
      <c r="I38" s="119"/>
      <c r="J38" s="119"/>
      <c r="K38" s="119"/>
      <c r="L38" s="119"/>
    </row>
    <row r="39" spans="1:12" ht="15.75" thickBot="1" x14ac:dyDescent="0.3">
      <c r="A39" s="68"/>
      <c r="B39" s="66" t="s">
        <v>347</v>
      </c>
      <c r="C39" s="69"/>
      <c r="D39" s="69"/>
      <c r="E39" s="67">
        <f>'Balance Sheet'!B63</f>
        <v>1100849.0299999998</v>
      </c>
      <c r="G39" s="50"/>
      <c r="H39" s="54" t="s">
        <v>348</v>
      </c>
      <c r="I39" s="54" t="s">
        <v>349</v>
      </c>
      <c r="J39" s="54" t="s">
        <v>350</v>
      </c>
      <c r="K39" s="54" t="s">
        <v>351</v>
      </c>
    </row>
    <row r="40" spans="1:12" ht="15.75" thickBot="1" x14ac:dyDescent="0.3">
      <c r="A40" s="62" t="s">
        <v>352</v>
      </c>
      <c r="B40" s="69"/>
      <c r="C40" s="69"/>
      <c r="D40" s="69"/>
      <c r="E40" s="71">
        <f>SUM(E38:E39)</f>
        <v>7224391.6899999995</v>
      </c>
      <c r="G40" s="92" t="s">
        <v>394</v>
      </c>
      <c r="H40" s="95">
        <f>E25/E36</f>
        <v>1.153343295235572</v>
      </c>
      <c r="I40" s="76" t="s">
        <v>354</v>
      </c>
      <c r="J40" s="55" t="s">
        <v>355</v>
      </c>
      <c r="K40" s="55" t="s">
        <v>356</v>
      </c>
    </row>
    <row r="41" spans="1:12" ht="15.75" thickTop="1" x14ac:dyDescent="0.25">
      <c r="A41" s="68"/>
      <c r="B41" s="69"/>
      <c r="C41" s="69"/>
      <c r="D41" s="69"/>
      <c r="E41" s="77"/>
      <c r="G41" s="52" t="s">
        <v>357</v>
      </c>
      <c r="H41" s="91">
        <f>H9</f>
        <v>297.10499918458197</v>
      </c>
      <c r="I41" s="76" t="s">
        <v>358</v>
      </c>
      <c r="J41" s="55" t="s">
        <v>359</v>
      </c>
      <c r="K41" s="55" t="s">
        <v>360</v>
      </c>
    </row>
    <row r="42" spans="1:12" x14ac:dyDescent="0.25">
      <c r="A42" s="68"/>
      <c r="B42" s="69"/>
      <c r="C42" s="69"/>
      <c r="D42" s="69"/>
      <c r="E42" s="78">
        <f>E28-E40</f>
        <v>0</v>
      </c>
      <c r="G42" s="52" t="s">
        <v>361</v>
      </c>
      <c r="H42" s="55">
        <v>0</v>
      </c>
      <c r="I42" s="76" t="s">
        <v>362</v>
      </c>
      <c r="J42" s="55" t="s">
        <v>363</v>
      </c>
      <c r="K42" s="55" t="s">
        <v>364</v>
      </c>
    </row>
    <row r="43" spans="1:12" ht="23.25" x14ac:dyDescent="0.25">
      <c r="A43" s="79"/>
      <c r="B43" s="80"/>
      <c r="C43" s="80"/>
      <c r="D43" s="80"/>
      <c r="E43" s="81"/>
      <c r="G43" s="98" t="s">
        <v>396</v>
      </c>
      <c r="H43" s="91">
        <f>0/B8</f>
        <v>0</v>
      </c>
      <c r="I43" s="76" t="s">
        <v>365</v>
      </c>
      <c r="J43" s="55" t="s">
        <v>366</v>
      </c>
      <c r="K43" s="55" t="s">
        <v>367</v>
      </c>
    </row>
    <row r="44" spans="1:12" x14ac:dyDescent="0.25">
      <c r="G44" s="52" t="s">
        <v>368</v>
      </c>
      <c r="H44" s="55" t="s">
        <v>369</v>
      </c>
      <c r="I44" s="76" t="s">
        <v>369</v>
      </c>
      <c r="J44" s="55"/>
      <c r="K44" s="55" t="s">
        <v>370</v>
      </c>
    </row>
    <row r="45" spans="1:12" ht="15.75" thickBot="1" x14ac:dyDescent="0.3">
      <c r="G45" s="99" t="s">
        <v>397</v>
      </c>
      <c r="H45" s="93">
        <f>B10/B8</f>
        <v>3.5186041945152915E-2</v>
      </c>
      <c r="I45" s="76" t="s">
        <v>371</v>
      </c>
      <c r="J45" s="55" t="s">
        <v>372</v>
      </c>
      <c r="K45" s="55" t="s">
        <v>373</v>
      </c>
    </row>
    <row r="46" spans="1:12" ht="15.75" thickBot="1" x14ac:dyDescent="0.3">
      <c r="G46" s="97" t="s">
        <v>395</v>
      </c>
      <c r="H46" s="93">
        <f>E38/(E26+H33)</f>
        <v>30.532899013121362</v>
      </c>
      <c r="I46" s="76" t="s">
        <v>375</v>
      </c>
      <c r="J46" s="55" t="s">
        <v>376</v>
      </c>
      <c r="K46" s="55" t="s">
        <v>377</v>
      </c>
    </row>
    <row r="47" spans="1:12" x14ac:dyDescent="0.25">
      <c r="G47" s="51" t="s">
        <v>378</v>
      </c>
      <c r="H47" s="55"/>
      <c r="I47" s="55"/>
      <c r="J47" s="55"/>
      <c r="K47" s="55"/>
    </row>
    <row r="49" spans="7:11" x14ac:dyDescent="0.25">
      <c r="G49" s="120" t="s">
        <v>379</v>
      </c>
      <c r="H49" s="121"/>
      <c r="I49" s="121"/>
      <c r="J49" s="121"/>
      <c r="K49" s="121"/>
    </row>
    <row r="50" spans="7:11" x14ac:dyDescent="0.25">
      <c r="G50" s="118" t="s">
        <v>294</v>
      </c>
      <c r="H50" s="119"/>
      <c r="I50" s="119"/>
      <c r="J50" s="119"/>
      <c r="K50" s="119"/>
    </row>
    <row r="51" spans="7:11" x14ac:dyDescent="0.25">
      <c r="G51" s="52"/>
      <c r="H51" s="55" t="s">
        <v>348</v>
      </c>
      <c r="I51" s="55" t="s">
        <v>349</v>
      </c>
      <c r="J51" s="55" t="s">
        <v>380</v>
      </c>
      <c r="K51" s="55" t="s">
        <v>381</v>
      </c>
    </row>
    <row r="52" spans="7:11" x14ac:dyDescent="0.25">
      <c r="G52" s="52" t="s">
        <v>353</v>
      </c>
      <c r="H52" s="91">
        <f>H40</f>
        <v>1.153343295235572</v>
      </c>
      <c r="I52" s="76" t="s">
        <v>382</v>
      </c>
      <c r="J52" s="55" t="s">
        <v>383</v>
      </c>
      <c r="K52" s="55"/>
    </row>
    <row r="53" spans="7:11" x14ac:dyDescent="0.25">
      <c r="G53" s="52" t="s">
        <v>357</v>
      </c>
      <c r="H53" s="91">
        <f>H41</f>
        <v>297.10499918458197</v>
      </c>
      <c r="I53" s="76" t="s">
        <v>384</v>
      </c>
      <c r="J53" s="55" t="s">
        <v>385</v>
      </c>
      <c r="K53" s="55"/>
    </row>
    <row r="54" spans="7:11" x14ac:dyDescent="0.25">
      <c r="G54" s="52" t="s">
        <v>368</v>
      </c>
      <c r="H54" s="55" t="str">
        <f>H44</f>
        <v>Yes</v>
      </c>
      <c r="I54" s="76" t="s">
        <v>369</v>
      </c>
      <c r="J54" s="55" t="s">
        <v>370</v>
      </c>
      <c r="K54" s="55"/>
    </row>
    <row r="55" spans="7:11" x14ac:dyDescent="0.25">
      <c r="G55" s="52" t="s">
        <v>374</v>
      </c>
      <c r="H55" s="94">
        <f>H46</f>
        <v>30.532899013121362</v>
      </c>
      <c r="I55" s="76" t="s">
        <v>386</v>
      </c>
      <c r="J55" s="55" t="s">
        <v>387</v>
      </c>
      <c r="K55" s="55"/>
    </row>
    <row r="56" spans="7:11" x14ac:dyDescent="0.25">
      <c r="G56" s="52" t="s">
        <v>388</v>
      </c>
      <c r="H56" s="55" t="s">
        <v>389</v>
      </c>
      <c r="I56" s="55" t="s">
        <v>390</v>
      </c>
      <c r="J56" s="55" t="s">
        <v>391</v>
      </c>
      <c r="K56" s="55"/>
    </row>
  </sheetData>
  <mergeCells count="13">
    <mergeCell ref="A12:D12"/>
    <mergeCell ref="A1:D1"/>
    <mergeCell ref="A5:D5"/>
    <mergeCell ref="G5:H5"/>
    <mergeCell ref="A6:D6"/>
    <mergeCell ref="G6:H6"/>
    <mergeCell ref="G50:K50"/>
    <mergeCell ref="A13:D13"/>
    <mergeCell ref="G13:K13"/>
    <mergeCell ref="G14:K14"/>
    <mergeCell ref="G37:L37"/>
    <mergeCell ref="G38:L38"/>
    <mergeCell ref="G49:K49"/>
  </mergeCells>
  <pageMargins left="0.7" right="0.7" top="0.75" bottom="0.75" header="0.3" footer="0.3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9F667-E709-48FB-A866-3823D18BDDFD}">
  <dimension ref="A1:Q202"/>
  <sheetViews>
    <sheetView topLeftCell="A7" workbookViewId="0">
      <selection activeCell="A2" sqref="A2:O2"/>
    </sheetView>
  </sheetViews>
  <sheetFormatPr defaultRowHeight="15" x14ac:dyDescent="0.25"/>
  <cols>
    <col min="1" max="1" width="46.42578125" customWidth="1"/>
    <col min="2" max="2" width="12" customWidth="1"/>
    <col min="3" max="3" width="11.140625" customWidth="1"/>
    <col min="4" max="9" width="10.28515625" customWidth="1"/>
    <col min="10" max="10" width="12" customWidth="1"/>
    <col min="11" max="11" width="10.28515625" customWidth="1"/>
    <col min="12" max="13" width="12" customWidth="1"/>
    <col min="14" max="14" width="13.7109375" customWidth="1"/>
    <col min="15" max="15" width="7.7109375" customWidth="1"/>
    <col min="16" max="16" width="14.85546875" style="13" bestFit="1" customWidth="1"/>
    <col min="17" max="17" width="12" style="14" customWidth="1"/>
  </cols>
  <sheetData>
    <row r="1" spans="1:17" ht="18" x14ac:dyDescent="0.25">
      <c r="A1" s="124" t="s">
        <v>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7" ht="18" x14ac:dyDescent="0.25">
      <c r="A2" s="124" t="s">
        <v>276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7" x14ac:dyDescent="0.25">
      <c r="A3" s="126" t="s">
        <v>278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5" spans="1:17" x14ac:dyDescent="0.25">
      <c r="A5" s="1"/>
      <c r="B5" s="15" t="s">
        <v>274</v>
      </c>
      <c r="C5" s="15" t="s">
        <v>273</v>
      </c>
      <c r="D5" s="15" t="s">
        <v>272</v>
      </c>
      <c r="E5" s="15" t="s">
        <v>271</v>
      </c>
      <c r="F5" s="15" t="s">
        <v>270</v>
      </c>
      <c r="G5" s="15" t="s">
        <v>269</v>
      </c>
      <c r="H5" s="15" t="s">
        <v>268</v>
      </c>
      <c r="I5" s="15" t="s">
        <v>267</v>
      </c>
      <c r="J5" s="15" t="s">
        <v>266</v>
      </c>
      <c r="K5" s="15" t="s">
        <v>265</v>
      </c>
      <c r="L5" s="127" t="s">
        <v>0</v>
      </c>
      <c r="M5" s="128"/>
      <c r="N5" s="128"/>
      <c r="O5" s="128"/>
    </row>
    <row r="6" spans="1:17" ht="24.75" x14ac:dyDescent="0.25">
      <c r="A6" s="1"/>
      <c r="B6" s="15" t="s">
        <v>262</v>
      </c>
      <c r="C6" s="15" t="s">
        <v>262</v>
      </c>
      <c r="D6" s="15" t="s">
        <v>262</v>
      </c>
      <c r="E6" s="15" t="s">
        <v>262</v>
      </c>
      <c r="F6" s="15" t="s">
        <v>262</v>
      </c>
      <c r="G6" s="15" t="s">
        <v>262</v>
      </c>
      <c r="H6" s="15" t="s">
        <v>262</v>
      </c>
      <c r="I6" s="15" t="s">
        <v>262</v>
      </c>
      <c r="J6" s="15" t="s">
        <v>262</v>
      </c>
      <c r="K6" s="15" t="s">
        <v>262</v>
      </c>
      <c r="L6" s="20" t="s">
        <v>288</v>
      </c>
      <c r="M6" s="25" t="s">
        <v>289</v>
      </c>
      <c r="N6" s="30" t="s">
        <v>260</v>
      </c>
      <c r="O6" s="35" t="s">
        <v>259</v>
      </c>
      <c r="P6" s="40" t="s">
        <v>290</v>
      </c>
      <c r="Q6" s="44" t="s">
        <v>291</v>
      </c>
    </row>
    <row r="7" spans="1:17" x14ac:dyDescent="0.25">
      <c r="A7" s="3" t="s">
        <v>258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21"/>
      <c r="M7" s="26"/>
      <c r="N7" s="31"/>
      <c r="O7" s="36"/>
      <c r="P7" s="41"/>
      <c r="Q7" s="45"/>
    </row>
    <row r="8" spans="1:17" hidden="1" x14ac:dyDescent="0.25">
      <c r="A8" s="3" t="s">
        <v>257</v>
      </c>
      <c r="B8" s="16"/>
      <c r="C8" s="16"/>
      <c r="D8" s="16"/>
      <c r="E8" s="16"/>
      <c r="F8" s="17">
        <f>276.19</f>
        <v>276.19</v>
      </c>
      <c r="G8" s="16"/>
      <c r="H8" s="16"/>
      <c r="I8" s="16"/>
      <c r="J8" s="17">
        <f>248.29</f>
        <v>248.29</v>
      </c>
      <c r="K8" s="16"/>
      <c r="L8" s="22">
        <v>524.48</v>
      </c>
      <c r="M8" s="27">
        <v>0</v>
      </c>
      <c r="N8" s="32">
        <v>524.48</v>
      </c>
      <c r="O8" s="37" t="s">
        <v>287</v>
      </c>
      <c r="P8" s="41">
        <v>0</v>
      </c>
      <c r="Q8" s="45"/>
    </row>
    <row r="9" spans="1:17" hidden="1" x14ac:dyDescent="0.25">
      <c r="A9" s="3" t="s">
        <v>256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2">
        <v>0</v>
      </c>
      <c r="M9" s="27">
        <v>0</v>
      </c>
      <c r="N9" s="32">
        <v>0</v>
      </c>
      <c r="O9" s="37" t="s">
        <v>287</v>
      </c>
      <c r="P9" s="41">
        <v>0</v>
      </c>
      <c r="Q9" s="45"/>
    </row>
    <row r="10" spans="1:17" hidden="1" x14ac:dyDescent="0.25">
      <c r="A10" s="3" t="s">
        <v>255</v>
      </c>
      <c r="B10" s="17">
        <f>4.57</f>
        <v>4.57</v>
      </c>
      <c r="C10" s="17">
        <f>49.98</f>
        <v>49.98</v>
      </c>
      <c r="D10" s="17">
        <f>9.16</f>
        <v>9.16</v>
      </c>
      <c r="E10" s="16"/>
      <c r="F10" s="16"/>
      <c r="G10" s="17">
        <f>88.16</f>
        <v>88.16</v>
      </c>
      <c r="H10" s="17">
        <f>195.25</f>
        <v>195.25</v>
      </c>
      <c r="I10" s="17">
        <f>10</f>
        <v>10</v>
      </c>
      <c r="J10" s="17">
        <f>8.16</f>
        <v>8.16</v>
      </c>
      <c r="K10" s="16"/>
      <c r="L10" s="22">
        <v>365.28000000000003</v>
      </c>
      <c r="M10" s="27">
        <v>0</v>
      </c>
      <c r="N10" s="32">
        <v>365.28000000000003</v>
      </c>
      <c r="O10" s="37" t="s">
        <v>287</v>
      </c>
      <c r="P10" s="41">
        <v>0</v>
      </c>
      <c r="Q10" s="45"/>
    </row>
    <row r="11" spans="1:17" hidden="1" x14ac:dyDescent="0.25">
      <c r="A11" s="3" t="s">
        <v>254</v>
      </c>
      <c r="B11" s="16"/>
      <c r="C11" s="16"/>
      <c r="D11" s="16"/>
      <c r="E11" s="16"/>
      <c r="F11" s="17">
        <f>4.55</f>
        <v>4.55</v>
      </c>
      <c r="G11" s="16"/>
      <c r="H11" s="17">
        <f>9.98</f>
        <v>9.98</v>
      </c>
      <c r="I11" s="16"/>
      <c r="J11" s="17">
        <f>9.95</f>
        <v>9.9499999999999993</v>
      </c>
      <c r="K11" s="17">
        <f>9.9</f>
        <v>9.9</v>
      </c>
      <c r="L11" s="22">
        <v>34.380000000000003</v>
      </c>
      <c r="M11" s="27">
        <v>0</v>
      </c>
      <c r="N11" s="32">
        <v>34.380000000000003</v>
      </c>
      <c r="O11" s="37" t="s">
        <v>287</v>
      </c>
      <c r="P11" s="41">
        <v>0</v>
      </c>
      <c r="Q11" s="45"/>
    </row>
    <row r="12" spans="1:17" hidden="1" x14ac:dyDescent="0.25">
      <c r="A12" s="3" t="s">
        <v>253</v>
      </c>
      <c r="B12" s="16"/>
      <c r="C12" s="17">
        <f>482</f>
        <v>482</v>
      </c>
      <c r="D12" s="16"/>
      <c r="E12" s="17">
        <f>30.11</f>
        <v>30.11</v>
      </c>
      <c r="F12" s="17">
        <f>1026.71</f>
        <v>1026.71</v>
      </c>
      <c r="G12" s="16"/>
      <c r="H12" s="17">
        <f>60.18</f>
        <v>60.18</v>
      </c>
      <c r="I12" s="16"/>
      <c r="J12" s="17">
        <f>150</f>
        <v>150</v>
      </c>
      <c r="K12" s="16"/>
      <c r="L12" s="22">
        <v>1749.0000000000002</v>
      </c>
      <c r="M12" s="27">
        <v>0</v>
      </c>
      <c r="N12" s="32">
        <v>1749.0000000000002</v>
      </c>
      <c r="O12" s="37" t="s">
        <v>287</v>
      </c>
      <c r="P12" s="42">
        <v>0</v>
      </c>
      <c r="Q12" s="46"/>
    </row>
    <row r="13" spans="1:17" hidden="1" x14ac:dyDescent="0.25">
      <c r="A13" s="3" t="s">
        <v>252</v>
      </c>
      <c r="B13" s="18">
        <f t="shared" ref="B13:K13" si="0">(((B9)+(B10))+(B11))+(B12)</f>
        <v>4.57</v>
      </c>
      <c r="C13" s="18">
        <f t="shared" si="0"/>
        <v>531.98</v>
      </c>
      <c r="D13" s="18">
        <f t="shared" si="0"/>
        <v>9.16</v>
      </c>
      <c r="E13" s="18">
        <f t="shared" si="0"/>
        <v>30.11</v>
      </c>
      <c r="F13" s="18">
        <f t="shared" si="0"/>
        <v>1031.26</v>
      </c>
      <c r="G13" s="18">
        <f t="shared" si="0"/>
        <v>88.16</v>
      </c>
      <c r="H13" s="18">
        <f t="shared" si="0"/>
        <v>265.40999999999997</v>
      </c>
      <c r="I13" s="18">
        <f t="shared" si="0"/>
        <v>10</v>
      </c>
      <c r="J13" s="18">
        <f t="shared" si="0"/>
        <v>168.11</v>
      </c>
      <c r="K13" s="18">
        <f t="shared" si="0"/>
        <v>9.9</v>
      </c>
      <c r="L13" s="23">
        <v>2148.6600000000003</v>
      </c>
      <c r="M13" s="28">
        <v>0</v>
      </c>
      <c r="N13" s="33">
        <v>2148.6600000000003</v>
      </c>
      <c r="O13" s="38" t="s">
        <v>287</v>
      </c>
      <c r="P13" s="41">
        <v>0</v>
      </c>
      <c r="Q13" s="45"/>
    </row>
    <row r="14" spans="1:17" hidden="1" x14ac:dyDescent="0.25">
      <c r="A14" s="3" t="s">
        <v>251</v>
      </c>
      <c r="B14" s="16"/>
      <c r="C14" s="17">
        <f>248.93</f>
        <v>248.93</v>
      </c>
      <c r="D14" s="16"/>
      <c r="E14" s="17">
        <f>11129.61</f>
        <v>11129.61</v>
      </c>
      <c r="F14" s="17">
        <f>9706.75</f>
        <v>9706.75</v>
      </c>
      <c r="G14" s="16"/>
      <c r="H14" s="17">
        <f>8907.99</f>
        <v>8907.99</v>
      </c>
      <c r="I14" s="17">
        <f>4730.3</f>
        <v>4730.3</v>
      </c>
      <c r="J14" s="17">
        <f>7502</f>
        <v>7502</v>
      </c>
      <c r="K14" s="17">
        <f>5772.1</f>
        <v>5772.1</v>
      </c>
      <c r="L14" s="22">
        <v>47997.68</v>
      </c>
      <c r="M14" s="27">
        <v>70806.3</v>
      </c>
      <c r="N14" s="32">
        <v>-22808.620000000003</v>
      </c>
      <c r="O14" s="37">
        <v>0.67787301412444934</v>
      </c>
      <c r="P14" s="41">
        <v>84133</v>
      </c>
      <c r="Q14" s="45">
        <f>L14/P14</f>
        <v>0.57049766441229954</v>
      </c>
    </row>
    <row r="15" spans="1:17" hidden="1" x14ac:dyDescent="0.25">
      <c r="A15" s="3" t="s">
        <v>250</v>
      </c>
      <c r="B15" s="16"/>
      <c r="C15" s="16"/>
      <c r="D15" s="16"/>
      <c r="E15" s="16"/>
      <c r="F15" s="16"/>
      <c r="G15" s="16"/>
      <c r="H15" s="16"/>
      <c r="I15" s="16"/>
      <c r="J15" s="17">
        <f>-740</f>
        <v>-740</v>
      </c>
      <c r="K15" s="17">
        <f>3150</f>
        <v>3150</v>
      </c>
      <c r="L15" s="22">
        <v>2410</v>
      </c>
      <c r="M15" s="27">
        <v>0</v>
      </c>
      <c r="N15" s="32">
        <v>2410</v>
      </c>
      <c r="O15" s="37" t="s">
        <v>287</v>
      </c>
      <c r="P15" s="41">
        <v>0</v>
      </c>
      <c r="Q15" s="45"/>
    </row>
    <row r="16" spans="1:17" hidden="1" x14ac:dyDescent="0.25">
      <c r="A16" s="3" t="s">
        <v>249</v>
      </c>
      <c r="B16" s="16"/>
      <c r="C16" s="16"/>
      <c r="D16" s="16"/>
      <c r="E16" s="17">
        <f>8118.25</f>
        <v>8118.25</v>
      </c>
      <c r="F16" s="17">
        <f>401.81</f>
        <v>401.81</v>
      </c>
      <c r="G16" s="16"/>
      <c r="H16" s="16"/>
      <c r="I16" s="16"/>
      <c r="J16" s="16"/>
      <c r="K16" s="16"/>
      <c r="L16" s="22">
        <v>8520.06</v>
      </c>
      <c r="M16" s="27">
        <v>0</v>
      </c>
      <c r="N16" s="32">
        <v>8520.06</v>
      </c>
      <c r="O16" s="37" t="s">
        <v>287</v>
      </c>
      <c r="P16" s="41">
        <v>0</v>
      </c>
      <c r="Q16" s="45"/>
    </row>
    <row r="17" spans="1:17" hidden="1" x14ac:dyDescent="0.25">
      <c r="A17" s="3" t="s">
        <v>248</v>
      </c>
      <c r="B17" s="16"/>
      <c r="C17" s="16"/>
      <c r="D17" s="17">
        <f>1152.61</f>
        <v>1152.6099999999999</v>
      </c>
      <c r="E17" s="17">
        <f>4173</f>
        <v>4173</v>
      </c>
      <c r="F17" s="16"/>
      <c r="G17" s="16"/>
      <c r="H17" s="16"/>
      <c r="I17" s="16"/>
      <c r="J17" s="16"/>
      <c r="K17" s="16"/>
      <c r="L17" s="22">
        <v>5325.61</v>
      </c>
      <c r="M17" s="27">
        <v>41666.600000000006</v>
      </c>
      <c r="N17" s="32">
        <v>-36340.990000000005</v>
      </c>
      <c r="O17" s="37">
        <v>0.12781484450375119</v>
      </c>
      <c r="P17" s="41">
        <v>50000.000000000007</v>
      </c>
      <c r="Q17" s="45">
        <f t="shared" ref="Q17:Q78" si="1">L17/P17</f>
        <v>0.10651219999999997</v>
      </c>
    </row>
    <row r="18" spans="1:17" hidden="1" x14ac:dyDescent="0.25">
      <c r="A18" s="3" t="s">
        <v>247</v>
      </c>
      <c r="B18" s="17">
        <f>459.2</f>
        <v>459.2</v>
      </c>
      <c r="C18" s="17">
        <f>104.35</f>
        <v>104.35</v>
      </c>
      <c r="D18" s="17">
        <f>300</f>
        <v>300</v>
      </c>
      <c r="E18" s="17">
        <f>50</f>
        <v>50</v>
      </c>
      <c r="F18" s="16"/>
      <c r="G18" s="16"/>
      <c r="H18" s="16"/>
      <c r="I18" s="16"/>
      <c r="J18" s="17">
        <f>4781.38</f>
        <v>4781.38</v>
      </c>
      <c r="K18" s="16"/>
      <c r="L18" s="22">
        <v>5694.93</v>
      </c>
      <c r="M18" s="27">
        <v>0</v>
      </c>
      <c r="N18" s="32">
        <v>5694.93</v>
      </c>
      <c r="O18" s="37" t="s">
        <v>287</v>
      </c>
      <c r="P18" s="41">
        <v>0</v>
      </c>
      <c r="Q18" s="45"/>
    </row>
    <row r="19" spans="1:17" hidden="1" x14ac:dyDescent="0.25">
      <c r="A19" s="3" t="s">
        <v>246</v>
      </c>
      <c r="B19" s="16"/>
      <c r="C19" s="17">
        <f>216.4</f>
        <v>216.4</v>
      </c>
      <c r="D19" s="17">
        <f>20</f>
        <v>20</v>
      </c>
      <c r="E19" s="17">
        <f>1917.66</f>
        <v>1917.66</v>
      </c>
      <c r="F19" s="17">
        <f>2089</f>
        <v>2089</v>
      </c>
      <c r="G19" s="16"/>
      <c r="H19" s="16"/>
      <c r="I19" s="16"/>
      <c r="J19" s="17">
        <f>248.8</f>
        <v>248.8</v>
      </c>
      <c r="K19" s="17">
        <f>1020.88</f>
        <v>1020.88</v>
      </c>
      <c r="L19" s="22">
        <v>5512.74</v>
      </c>
      <c r="M19" s="27">
        <v>100920</v>
      </c>
      <c r="N19" s="32">
        <v>-95407.26</v>
      </c>
      <c r="O19" s="37">
        <v>5.4624851367419736E-2</v>
      </c>
      <c r="P19" s="41">
        <v>168202</v>
      </c>
      <c r="Q19" s="45">
        <f t="shared" si="1"/>
        <v>3.2774521111520669E-2</v>
      </c>
    </row>
    <row r="20" spans="1:17" hidden="1" x14ac:dyDescent="0.25">
      <c r="A20" s="3" t="s">
        <v>245</v>
      </c>
      <c r="B20" s="17">
        <f>24.3</f>
        <v>24.3</v>
      </c>
      <c r="C20" s="17">
        <f>50.24</f>
        <v>50.24</v>
      </c>
      <c r="D20" s="16"/>
      <c r="E20" s="17">
        <f>23.5</f>
        <v>23.5</v>
      </c>
      <c r="F20" s="17">
        <f>25.93</f>
        <v>25.93</v>
      </c>
      <c r="G20" s="17">
        <f>25.12</f>
        <v>25.12</v>
      </c>
      <c r="H20" s="17">
        <f>25.12</f>
        <v>25.12</v>
      </c>
      <c r="I20" s="17">
        <f>-109.18</f>
        <v>-109.18</v>
      </c>
      <c r="J20" s="17">
        <f>25.12</f>
        <v>25.12</v>
      </c>
      <c r="K20" s="16"/>
      <c r="L20" s="22">
        <v>90.15</v>
      </c>
      <c r="M20" s="27">
        <v>0</v>
      </c>
      <c r="N20" s="32">
        <v>90.15</v>
      </c>
      <c r="O20" s="37" t="s">
        <v>287</v>
      </c>
      <c r="P20" s="41">
        <v>0</v>
      </c>
      <c r="Q20" s="45"/>
    </row>
    <row r="21" spans="1:17" hidden="1" x14ac:dyDescent="0.25">
      <c r="A21" s="3" t="s">
        <v>244</v>
      </c>
      <c r="B21" s="17">
        <f>425700.99</f>
        <v>425700.99</v>
      </c>
      <c r="C21" s="17">
        <f>425700.99</f>
        <v>425700.99</v>
      </c>
      <c r="D21" s="17">
        <f>505417.41</f>
        <v>505417.41</v>
      </c>
      <c r="E21" s="17">
        <f>505417.41</f>
        <v>505417.41</v>
      </c>
      <c r="F21" s="17">
        <f>414770.93</f>
        <v>414770.93</v>
      </c>
      <c r="G21" s="17">
        <f>414770.93</f>
        <v>414770.93</v>
      </c>
      <c r="H21" s="17">
        <f>431747.45</f>
        <v>431747.45</v>
      </c>
      <c r="I21" s="17">
        <f>414770.93</f>
        <v>414770.93</v>
      </c>
      <c r="J21" s="17">
        <f>414770.93</f>
        <v>414770.93</v>
      </c>
      <c r="K21" s="17">
        <f>555856.87</f>
        <v>555856.87</v>
      </c>
      <c r="L21" s="22">
        <v>4508924.8400000008</v>
      </c>
      <c r="M21" s="27">
        <v>4317003.3</v>
      </c>
      <c r="N21" s="32">
        <v>191921.54000000097</v>
      </c>
      <c r="O21" s="37">
        <v>1.0444571214481122</v>
      </c>
      <c r="P21" s="41">
        <v>5180404</v>
      </c>
      <c r="Q21" s="45">
        <f t="shared" si="1"/>
        <v>0.87038092781952925</v>
      </c>
    </row>
    <row r="22" spans="1:17" hidden="1" x14ac:dyDescent="0.25">
      <c r="A22" s="3" t="s">
        <v>243</v>
      </c>
      <c r="B22" s="16"/>
      <c r="C22" s="16"/>
      <c r="D22" s="16"/>
      <c r="E22" s="16"/>
      <c r="F22" s="17">
        <f>64840.05</f>
        <v>64840.05</v>
      </c>
      <c r="G22" s="16"/>
      <c r="H22" s="17">
        <f>165200</f>
        <v>165200</v>
      </c>
      <c r="I22" s="16"/>
      <c r="J22" s="17">
        <f>39167</f>
        <v>39167</v>
      </c>
      <c r="K22" s="16"/>
      <c r="L22" s="22">
        <v>269207.05</v>
      </c>
      <c r="M22" s="27">
        <v>1296784.2</v>
      </c>
      <c r="N22" s="32">
        <v>-1027577.1499999999</v>
      </c>
      <c r="O22" s="37">
        <v>0.2075958744716353</v>
      </c>
      <c r="P22" s="42">
        <v>1556140.9999999998</v>
      </c>
      <c r="Q22" s="46">
        <f t="shared" si="1"/>
        <v>0.17299656650650552</v>
      </c>
    </row>
    <row r="23" spans="1:17" hidden="1" x14ac:dyDescent="0.25">
      <c r="A23" s="3" t="s">
        <v>242</v>
      </c>
      <c r="B23" s="18">
        <f t="shared" ref="B23:K23" si="2">(B21)+(B22)</f>
        <v>425700.99</v>
      </c>
      <c r="C23" s="18">
        <f t="shared" si="2"/>
        <v>425700.99</v>
      </c>
      <c r="D23" s="18">
        <f t="shared" si="2"/>
        <v>505417.41</v>
      </c>
      <c r="E23" s="18">
        <f t="shared" si="2"/>
        <v>505417.41</v>
      </c>
      <c r="F23" s="18">
        <f t="shared" si="2"/>
        <v>479610.98</v>
      </c>
      <c r="G23" s="18">
        <f t="shared" si="2"/>
        <v>414770.93</v>
      </c>
      <c r="H23" s="18">
        <f t="shared" si="2"/>
        <v>596947.44999999995</v>
      </c>
      <c r="I23" s="18">
        <f t="shared" si="2"/>
        <v>414770.93</v>
      </c>
      <c r="J23" s="18">
        <f t="shared" si="2"/>
        <v>453937.93</v>
      </c>
      <c r="K23" s="18">
        <f t="shared" si="2"/>
        <v>555856.87</v>
      </c>
      <c r="L23" s="23">
        <v>4778131.8900000006</v>
      </c>
      <c r="M23" s="28">
        <v>5613787.5</v>
      </c>
      <c r="N23" s="33">
        <v>-835655.6099999994</v>
      </c>
      <c r="O23" s="38">
        <v>0.85114227961069078</v>
      </c>
      <c r="P23" s="42">
        <v>6736545</v>
      </c>
      <c r="Q23" s="46">
        <f t="shared" si="1"/>
        <v>0.709285233008909</v>
      </c>
    </row>
    <row r="24" spans="1:17" x14ac:dyDescent="0.25">
      <c r="A24" s="3" t="s">
        <v>241</v>
      </c>
      <c r="B24" s="18">
        <f t="shared" ref="B24:K24" si="3">(((((((((B8)+(B13))+(B14))+(B15))+(B16))+(B17))+(B18))+(B19))+(B20))+(B23)</f>
        <v>426189.06</v>
      </c>
      <c r="C24" s="18">
        <f t="shared" si="3"/>
        <v>426852.89</v>
      </c>
      <c r="D24" s="18">
        <f t="shared" si="3"/>
        <v>506899.18</v>
      </c>
      <c r="E24" s="18">
        <f t="shared" si="3"/>
        <v>530859.53999999992</v>
      </c>
      <c r="F24" s="18">
        <f t="shared" si="3"/>
        <v>493141.92</v>
      </c>
      <c r="G24" s="18">
        <f t="shared" si="3"/>
        <v>414884.21</v>
      </c>
      <c r="H24" s="18">
        <f t="shared" si="3"/>
        <v>606145.97</v>
      </c>
      <c r="I24" s="18">
        <f t="shared" si="3"/>
        <v>419402.05</v>
      </c>
      <c r="J24" s="18">
        <f t="shared" si="3"/>
        <v>466171.63</v>
      </c>
      <c r="K24" s="18">
        <f t="shared" si="3"/>
        <v>565809.75</v>
      </c>
      <c r="L24" s="23">
        <v>4856356.1999999993</v>
      </c>
      <c r="M24" s="28">
        <v>5827180.4000000013</v>
      </c>
      <c r="N24" s="33">
        <v>-970824.20000000205</v>
      </c>
      <c r="O24" s="38">
        <v>0.83339726362341526</v>
      </c>
      <c r="P24" s="41">
        <v>7038880.0000000009</v>
      </c>
      <c r="Q24" s="45">
        <f t="shared" si="1"/>
        <v>0.68993308594549108</v>
      </c>
    </row>
    <row r="25" spans="1:17" hidden="1" x14ac:dyDescent="0.25">
      <c r="A25" s="3" t="s">
        <v>240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2">
        <v>0</v>
      </c>
      <c r="M25" s="27">
        <v>0</v>
      </c>
      <c r="N25" s="32">
        <v>0</v>
      </c>
      <c r="O25" s="37" t="s">
        <v>287</v>
      </c>
      <c r="P25" s="41">
        <v>0</v>
      </c>
      <c r="Q25" s="45"/>
    </row>
    <row r="26" spans="1:17" hidden="1" x14ac:dyDescent="0.25">
      <c r="A26" s="3" t="s">
        <v>239</v>
      </c>
      <c r="B26" s="17">
        <f>11024.34</f>
        <v>11024.34</v>
      </c>
      <c r="C26" s="17">
        <f>6283.2</f>
        <v>6283.2</v>
      </c>
      <c r="D26" s="17">
        <f>24820.44</f>
        <v>24820.44</v>
      </c>
      <c r="E26" s="16"/>
      <c r="F26" s="16"/>
      <c r="G26" s="16"/>
      <c r="H26" s="16"/>
      <c r="I26" s="16"/>
      <c r="J26" s="17">
        <f>13840</f>
        <v>13840</v>
      </c>
      <c r="K26" s="17">
        <f>15482.42</f>
        <v>15482.42</v>
      </c>
      <c r="L26" s="22">
        <v>71450.399999999994</v>
      </c>
      <c r="M26" s="27">
        <v>179044.19999999995</v>
      </c>
      <c r="N26" s="32">
        <v>-107593.79999999996</v>
      </c>
      <c r="O26" s="37">
        <v>0.39906570556320736</v>
      </c>
      <c r="P26" s="41">
        <v>214852.99999999994</v>
      </c>
      <c r="Q26" s="45">
        <f t="shared" si="1"/>
        <v>0.33255481654898938</v>
      </c>
    </row>
    <row r="27" spans="1:17" hidden="1" x14ac:dyDescent="0.25">
      <c r="A27" s="3" t="s">
        <v>238</v>
      </c>
      <c r="B27" s="16"/>
      <c r="C27" s="17">
        <f>14781.44</f>
        <v>14781.44</v>
      </c>
      <c r="D27" s="17">
        <f>33393.12</f>
        <v>33393.120000000003</v>
      </c>
      <c r="E27" s="17">
        <f>35772.57</f>
        <v>35772.57</v>
      </c>
      <c r="F27" s="17">
        <f>29893.99</f>
        <v>29893.99</v>
      </c>
      <c r="G27" s="17">
        <f>117239.76</f>
        <v>117239.76</v>
      </c>
      <c r="H27" s="17">
        <f>36129.43</f>
        <v>36129.43</v>
      </c>
      <c r="I27" s="17">
        <f>85739.33</f>
        <v>85739.33</v>
      </c>
      <c r="J27" s="17">
        <f>34103.82</f>
        <v>34103.82</v>
      </c>
      <c r="K27" s="17">
        <f>29319.51</f>
        <v>29319.51</v>
      </c>
      <c r="L27" s="22">
        <v>416372.97000000003</v>
      </c>
      <c r="M27" s="27">
        <v>283408.2900000001</v>
      </c>
      <c r="N27" s="32">
        <v>132964.67999999993</v>
      </c>
      <c r="O27" s="37">
        <v>1.4691629874341356</v>
      </c>
      <c r="P27" s="42">
        <v>340090.00000000006</v>
      </c>
      <c r="Q27" s="46">
        <f t="shared" si="1"/>
        <v>1.2243023023317356</v>
      </c>
    </row>
    <row r="28" spans="1:17" x14ac:dyDescent="0.25">
      <c r="A28" s="3" t="s">
        <v>237</v>
      </c>
      <c r="B28" s="18">
        <f t="shared" ref="B28:K28" si="4">((B25)+(B26))+(B27)</f>
        <v>11024.34</v>
      </c>
      <c r="C28" s="18">
        <f t="shared" si="4"/>
        <v>21064.639999999999</v>
      </c>
      <c r="D28" s="18">
        <f t="shared" si="4"/>
        <v>58213.56</v>
      </c>
      <c r="E28" s="18">
        <f t="shared" si="4"/>
        <v>35772.57</v>
      </c>
      <c r="F28" s="18">
        <f t="shared" si="4"/>
        <v>29893.99</v>
      </c>
      <c r="G28" s="18">
        <f t="shared" si="4"/>
        <v>117239.76</v>
      </c>
      <c r="H28" s="18">
        <f t="shared" si="4"/>
        <v>36129.43</v>
      </c>
      <c r="I28" s="18">
        <f t="shared" si="4"/>
        <v>85739.33</v>
      </c>
      <c r="J28" s="18">
        <f t="shared" si="4"/>
        <v>47943.82</v>
      </c>
      <c r="K28" s="18">
        <f t="shared" si="4"/>
        <v>44801.93</v>
      </c>
      <c r="L28" s="23">
        <v>487823.37</v>
      </c>
      <c r="M28" s="28">
        <v>462452.49</v>
      </c>
      <c r="N28" s="33">
        <v>25370.880000000005</v>
      </c>
      <c r="O28" s="38">
        <v>1.054861592376765</v>
      </c>
      <c r="P28" s="41">
        <v>554943</v>
      </c>
      <c r="Q28" s="45">
        <f t="shared" si="1"/>
        <v>0.87905130797217013</v>
      </c>
    </row>
    <row r="29" spans="1:17" x14ac:dyDescent="0.25">
      <c r="A29" s="3" t="s">
        <v>236</v>
      </c>
      <c r="B29" s="16"/>
      <c r="C29" s="16"/>
      <c r="D29" s="16"/>
      <c r="E29" s="16"/>
      <c r="F29" s="16"/>
      <c r="G29" s="16"/>
      <c r="H29" s="16"/>
      <c r="I29" s="17">
        <f>180</f>
        <v>180</v>
      </c>
      <c r="J29" s="16"/>
      <c r="K29" s="16"/>
      <c r="L29" s="22">
        <v>180</v>
      </c>
      <c r="M29" s="27">
        <v>0</v>
      </c>
      <c r="N29" s="32">
        <v>180</v>
      </c>
      <c r="O29" s="37" t="s">
        <v>287</v>
      </c>
      <c r="P29" s="42">
        <v>0</v>
      </c>
      <c r="Q29" s="46"/>
    </row>
    <row r="30" spans="1:17" x14ac:dyDescent="0.25">
      <c r="A30" s="3" t="s">
        <v>235</v>
      </c>
      <c r="B30" s="18">
        <f t="shared" ref="B30:K30" si="5">((B24)+(B28))+(B29)</f>
        <v>437213.4</v>
      </c>
      <c r="C30" s="18">
        <f t="shared" si="5"/>
        <v>447917.53</v>
      </c>
      <c r="D30" s="18">
        <f t="shared" si="5"/>
        <v>565112.74</v>
      </c>
      <c r="E30" s="18">
        <f t="shared" si="5"/>
        <v>566632.10999999987</v>
      </c>
      <c r="F30" s="18">
        <f t="shared" si="5"/>
        <v>523035.91</v>
      </c>
      <c r="G30" s="18">
        <f t="shared" si="5"/>
        <v>532123.97</v>
      </c>
      <c r="H30" s="18">
        <f t="shared" si="5"/>
        <v>642275.4</v>
      </c>
      <c r="I30" s="18">
        <f t="shared" si="5"/>
        <v>505321.38</v>
      </c>
      <c r="J30" s="18">
        <f t="shared" si="5"/>
        <v>514115.45</v>
      </c>
      <c r="K30" s="18">
        <f t="shared" si="5"/>
        <v>610611.68000000005</v>
      </c>
      <c r="L30" s="23">
        <v>5344359.57</v>
      </c>
      <c r="M30" s="28">
        <v>6289632.8900000006</v>
      </c>
      <c r="N30" s="33">
        <v>-945273.3200000003</v>
      </c>
      <c r="O30" s="38">
        <v>0.84970930155511826</v>
      </c>
      <c r="P30" s="41">
        <v>7593823</v>
      </c>
      <c r="Q30" s="45">
        <f t="shared" si="1"/>
        <v>0.70377721076722488</v>
      </c>
    </row>
    <row r="31" spans="1:17" x14ac:dyDescent="0.25">
      <c r="A31" s="3" t="s">
        <v>234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1"/>
      <c r="M31" s="26"/>
      <c r="N31" s="31"/>
      <c r="O31" s="36"/>
      <c r="P31" s="41"/>
      <c r="Q31" s="45"/>
    </row>
    <row r="32" spans="1:17" x14ac:dyDescent="0.25">
      <c r="A32" s="3" t="s">
        <v>233</v>
      </c>
      <c r="B32" s="16"/>
      <c r="C32" s="16"/>
      <c r="D32" s="16"/>
      <c r="E32" s="16"/>
      <c r="F32" s="16"/>
      <c r="G32" s="16"/>
      <c r="H32" s="16"/>
      <c r="I32" s="16"/>
      <c r="J32" s="16"/>
      <c r="K32" s="17">
        <f>7041.96</f>
        <v>7041.96</v>
      </c>
      <c r="L32" s="22">
        <v>7041.96</v>
      </c>
      <c r="M32" s="27">
        <v>0</v>
      </c>
      <c r="N32" s="32">
        <v>7041.96</v>
      </c>
      <c r="O32" s="37" t="s">
        <v>287</v>
      </c>
      <c r="P32" s="42">
        <v>0</v>
      </c>
      <c r="Q32" s="46"/>
    </row>
    <row r="33" spans="1:17" x14ac:dyDescent="0.25">
      <c r="A33" s="3" t="s">
        <v>232</v>
      </c>
      <c r="B33" s="18">
        <f t="shared" ref="B33:K33" si="6">B32</f>
        <v>0</v>
      </c>
      <c r="C33" s="18">
        <f t="shared" si="6"/>
        <v>0</v>
      </c>
      <c r="D33" s="18">
        <f t="shared" si="6"/>
        <v>0</v>
      </c>
      <c r="E33" s="18">
        <f t="shared" si="6"/>
        <v>0</v>
      </c>
      <c r="F33" s="18">
        <f t="shared" si="6"/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7041.96</v>
      </c>
      <c r="L33" s="23">
        <v>7041.96</v>
      </c>
      <c r="M33" s="28">
        <v>0</v>
      </c>
      <c r="N33" s="33">
        <v>7041.96</v>
      </c>
      <c r="O33" s="38" t="s">
        <v>287</v>
      </c>
      <c r="P33" s="42">
        <v>0</v>
      </c>
      <c r="Q33" s="46"/>
    </row>
    <row r="34" spans="1:17" x14ac:dyDescent="0.25">
      <c r="A34" s="3" t="s">
        <v>231</v>
      </c>
      <c r="B34" s="18">
        <f t="shared" ref="B34:K34" si="7">(B30)-(B33)</f>
        <v>437213.4</v>
      </c>
      <c r="C34" s="18">
        <f t="shared" si="7"/>
        <v>447917.53</v>
      </c>
      <c r="D34" s="18">
        <f t="shared" si="7"/>
        <v>565112.74</v>
      </c>
      <c r="E34" s="18">
        <f t="shared" si="7"/>
        <v>566632.10999999987</v>
      </c>
      <c r="F34" s="18">
        <f t="shared" si="7"/>
        <v>523035.91</v>
      </c>
      <c r="G34" s="18">
        <f t="shared" si="7"/>
        <v>532123.97</v>
      </c>
      <c r="H34" s="18">
        <f t="shared" si="7"/>
        <v>642275.4</v>
      </c>
      <c r="I34" s="18">
        <f t="shared" si="7"/>
        <v>505321.38</v>
      </c>
      <c r="J34" s="18">
        <f t="shared" si="7"/>
        <v>514115.45</v>
      </c>
      <c r="K34" s="18">
        <f t="shared" si="7"/>
        <v>603569.72000000009</v>
      </c>
      <c r="L34" s="23">
        <v>5337317.6100000003</v>
      </c>
      <c r="M34" s="28">
        <v>6289632.8900000006</v>
      </c>
      <c r="N34" s="33">
        <v>-952315.28000000026</v>
      </c>
      <c r="O34" s="38">
        <v>0.84858968772023191</v>
      </c>
      <c r="P34" s="41">
        <v>7593823</v>
      </c>
      <c r="Q34" s="45">
        <f t="shared" si="1"/>
        <v>0.70284988338548327</v>
      </c>
    </row>
    <row r="35" spans="1:17" x14ac:dyDescent="0.25">
      <c r="A35" s="3" t="s">
        <v>230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1"/>
      <c r="M35" s="26"/>
      <c r="N35" s="31"/>
      <c r="O35" s="36"/>
      <c r="P35" s="41"/>
      <c r="Q35" s="45"/>
    </row>
    <row r="36" spans="1:17" x14ac:dyDescent="0.25">
      <c r="A36" s="3" t="s">
        <v>229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22">
        <v>0</v>
      </c>
      <c r="M36" s="27">
        <v>0</v>
      </c>
      <c r="N36" s="32">
        <v>0</v>
      </c>
      <c r="O36" s="37" t="s">
        <v>287</v>
      </c>
      <c r="P36" s="41">
        <v>0</v>
      </c>
      <c r="Q36" s="45"/>
    </row>
    <row r="37" spans="1:17" hidden="1" x14ac:dyDescent="0.25">
      <c r="A37" s="3" t="s">
        <v>228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22">
        <v>0</v>
      </c>
      <c r="M37" s="27">
        <v>430394.1999999999</v>
      </c>
      <c r="N37" s="32">
        <v>-430394.1999999999</v>
      </c>
      <c r="O37" s="37">
        <v>0</v>
      </c>
      <c r="P37" s="41">
        <v>516472.99999999994</v>
      </c>
      <c r="Q37" s="45">
        <f t="shared" si="1"/>
        <v>0</v>
      </c>
    </row>
    <row r="38" spans="1:17" hidden="1" x14ac:dyDescent="0.25">
      <c r="A38" s="3" t="s">
        <v>227</v>
      </c>
      <c r="B38" s="17">
        <f>283540.28</f>
        <v>283540.28000000003</v>
      </c>
      <c r="C38" s="17">
        <f>167247.79</f>
        <v>167247.79</v>
      </c>
      <c r="D38" s="17">
        <f>193560.6</f>
        <v>193560.6</v>
      </c>
      <c r="E38" s="17">
        <f>191190.92</f>
        <v>191190.92</v>
      </c>
      <c r="F38" s="17">
        <f>182418.18</f>
        <v>182418.18</v>
      </c>
      <c r="G38" s="17">
        <f>182989.36</f>
        <v>182989.36</v>
      </c>
      <c r="H38" s="17">
        <f>302417.63</f>
        <v>302417.63</v>
      </c>
      <c r="I38" s="17">
        <f>167948.48</f>
        <v>167948.48</v>
      </c>
      <c r="J38" s="17">
        <f>218968.86</f>
        <v>218968.86</v>
      </c>
      <c r="K38" s="17">
        <f>165204.58</f>
        <v>165204.57999999999</v>
      </c>
      <c r="L38" s="22">
        <v>2055486.6799999997</v>
      </c>
      <c r="M38" s="27">
        <v>1945074.8400000003</v>
      </c>
      <c r="N38" s="32">
        <v>110411.83999999939</v>
      </c>
      <c r="O38" s="37">
        <v>1.0567648286479296</v>
      </c>
      <c r="P38" s="41">
        <v>2336539.0000000005</v>
      </c>
      <c r="Q38" s="45">
        <f t="shared" si="1"/>
        <v>0.87971426113580786</v>
      </c>
    </row>
    <row r="39" spans="1:17" hidden="1" x14ac:dyDescent="0.25">
      <c r="A39" s="3" t="s">
        <v>226</v>
      </c>
      <c r="B39" s="16"/>
      <c r="C39" s="16"/>
      <c r="D39" s="16"/>
      <c r="E39" s="16"/>
      <c r="F39" s="16"/>
      <c r="G39" s="16"/>
      <c r="H39" s="17">
        <f>12616.27</f>
        <v>12616.27</v>
      </c>
      <c r="I39" s="17">
        <f>6931.36</f>
        <v>6931.36</v>
      </c>
      <c r="J39" s="17">
        <f>8014.2</f>
        <v>8014.2</v>
      </c>
      <c r="K39" s="17">
        <f>6927.02</f>
        <v>6927.02</v>
      </c>
      <c r="L39" s="22">
        <v>34488.850000000006</v>
      </c>
      <c r="M39" s="27">
        <v>154355</v>
      </c>
      <c r="N39" s="32">
        <v>-119866.15</v>
      </c>
      <c r="O39" s="37">
        <v>0.22343850215412528</v>
      </c>
      <c r="P39" s="41">
        <v>185226</v>
      </c>
      <c r="Q39" s="45">
        <f t="shared" si="1"/>
        <v>0.18619875179510439</v>
      </c>
    </row>
    <row r="40" spans="1:17" hidden="1" x14ac:dyDescent="0.25">
      <c r="A40" s="3" t="s">
        <v>225</v>
      </c>
      <c r="B40" s="16"/>
      <c r="C40" s="17">
        <f>8205</f>
        <v>8205</v>
      </c>
      <c r="D40" s="17">
        <f>21430</f>
        <v>21430</v>
      </c>
      <c r="E40" s="17">
        <f>12920</f>
        <v>12920</v>
      </c>
      <c r="F40" s="17">
        <f>5150</f>
        <v>5150</v>
      </c>
      <c r="G40" s="17">
        <f>13640</f>
        <v>13640</v>
      </c>
      <c r="H40" s="17">
        <f>18018.5</f>
        <v>18018.5</v>
      </c>
      <c r="I40" s="17">
        <f>16415</f>
        <v>16415</v>
      </c>
      <c r="J40" s="17">
        <f>16815</f>
        <v>16815</v>
      </c>
      <c r="K40" s="17">
        <f>10585</f>
        <v>10585</v>
      </c>
      <c r="L40" s="22">
        <v>123178.5</v>
      </c>
      <c r="M40" s="27">
        <v>93721.60000000002</v>
      </c>
      <c r="N40" s="32">
        <v>29456.89999999998</v>
      </c>
      <c r="O40" s="37">
        <v>1.3143021459300734</v>
      </c>
      <c r="P40" s="41">
        <v>112466.00000000001</v>
      </c>
      <c r="Q40" s="45">
        <f t="shared" si="1"/>
        <v>1.0952510091938896</v>
      </c>
    </row>
    <row r="41" spans="1:17" hidden="1" x14ac:dyDescent="0.25">
      <c r="A41" s="3" t="s">
        <v>224</v>
      </c>
      <c r="B41" s="16"/>
      <c r="C41" s="16"/>
      <c r="D41" s="16"/>
      <c r="E41" s="16"/>
      <c r="F41" s="17">
        <f>4920</f>
        <v>4920</v>
      </c>
      <c r="G41" s="17">
        <f>3495</f>
        <v>3495</v>
      </c>
      <c r="H41" s="17">
        <f>4080.68</f>
        <v>4080.68</v>
      </c>
      <c r="I41" s="17">
        <f>4977.5</f>
        <v>4977.5</v>
      </c>
      <c r="J41" s="17">
        <f>6240</f>
        <v>6240</v>
      </c>
      <c r="K41" s="17">
        <f>4427.4</f>
        <v>4427.3999999999996</v>
      </c>
      <c r="L41" s="22">
        <v>28140.58</v>
      </c>
      <c r="M41" s="27">
        <v>30856.6</v>
      </c>
      <c r="N41" s="32">
        <v>-2716.0199999999968</v>
      </c>
      <c r="O41" s="37">
        <v>0.91197928482075152</v>
      </c>
      <c r="P41" s="41">
        <v>37027.999999999993</v>
      </c>
      <c r="Q41" s="45">
        <f t="shared" si="1"/>
        <v>0.75998109538727465</v>
      </c>
    </row>
    <row r="42" spans="1:17" hidden="1" x14ac:dyDescent="0.25">
      <c r="A42" s="3" t="s">
        <v>223</v>
      </c>
      <c r="B42" s="17">
        <f>12200</f>
        <v>12200</v>
      </c>
      <c r="C42" s="17">
        <f>10800</f>
        <v>10800</v>
      </c>
      <c r="D42" s="17">
        <f>10800</f>
        <v>10800</v>
      </c>
      <c r="E42" s="17">
        <f>10800</f>
        <v>10800</v>
      </c>
      <c r="F42" s="17">
        <f>10800</f>
        <v>10800</v>
      </c>
      <c r="G42" s="17">
        <f>10800</f>
        <v>10800</v>
      </c>
      <c r="H42" s="17">
        <f>24101.43</f>
        <v>24101.43</v>
      </c>
      <c r="I42" s="17">
        <f>16321.5</f>
        <v>16321.5</v>
      </c>
      <c r="J42" s="17">
        <f>24210.88</f>
        <v>24210.880000000001</v>
      </c>
      <c r="K42" s="17">
        <f>16321.5</f>
        <v>16321.5</v>
      </c>
      <c r="L42" s="22">
        <v>147155.31</v>
      </c>
      <c r="M42" s="27">
        <v>114059.2</v>
      </c>
      <c r="N42" s="32">
        <v>33096.11</v>
      </c>
      <c r="O42" s="37">
        <v>1.2901660716540182</v>
      </c>
      <c r="P42" s="41">
        <v>136871</v>
      </c>
      <c r="Q42" s="45">
        <f t="shared" si="1"/>
        <v>1.0751387072498921</v>
      </c>
    </row>
    <row r="43" spans="1:17" hidden="1" x14ac:dyDescent="0.25">
      <c r="A43" s="3" t="s">
        <v>222</v>
      </c>
      <c r="B43" s="17">
        <f>5000</f>
        <v>5000</v>
      </c>
      <c r="C43" s="17">
        <f>5000</f>
        <v>5000</v>
      </c>
      <c r="D43" s="17">
        <f>5000</f>
        <v>5000</v>
      </c>
      <c r="E43" s="17">
        <f>6250</f>
        <v>6250</v>
      </c>
      <c r="F43" s="17">
        <f>4500</f>
        <v>4500</v>
      </c>
      <c r="G43" s="17">
        <f>5000</f>
        <v>5000</v>
      </c>
      <c r="H43" s="16"/>
      <c r="I43" s="16"/>
      <c r="J43" s="16"/>
      <c r="K43" s="17">
        <f>4166.66</f>
        <v>4166.66</v>
      </c>
      <c r="L43" s="22">
        <v>34916.660000000003</v>
      </c>
      <c r="M43" s="27">
        <v>24583.300000000003</v>
      </c>
      <c r="N43" s="32">
        <v>10333.36</v>
      </c>
      <c r="O43" s="37">
        <v>1.4203406377500172</v>
      </c>
      <c r="P43" s="41">
        <v>29500.000000000004</v>
      </c>
      <c r="Q43" s="45">
        <f t="shared" si="1"/>
        <v>1.1836155932203389</v>
      </c>
    </row>
    <row r="44" spans="1:17" hidden="1" x14ac:dyDescent="0.25">
      <c r="A44" s="3" t="s">
        <v>221</v>
      </c>
      <c r="B44" s="16"/>
      <c r="C44" s="16"/>
      <c r="D44" s="16"/>
      <c r="E44" s="16"/>
      <c r="F44" s="16"/>
      <c r="G44" s="16"/>
      <c r="H44" s="17">
        <f>1321.02</f>
        <v>1321.02</v>
      </c>
      <c r="I44" s="16"/>
      <c r="J44" s="17">
        <f>1321.02</f>
        <v>1321.02</v>
      </c>
      <c r="K44" s="17">
        <f>859.52</f>
        <v>859.52</v>
      </c>
      <c r="L44" s="22">
        <v>3501.56</v>
      </c>
      <c r="M44" s="27">
        <v>0</v>
      </c>
      <c r="N44" s="32">
        <v>3501.56</v>
      </c>
      <c r="O44" s="37" t="s">
        <v>287</v>
      </c>
      <c r="P44" s="41">
        <v>0</v>
      </c>
      <c r="Q44" s="45"/>
    </row>
    <row r="45" spans="1:17" hidden="1" x14ac:dyDescent="0.25">
      <c r="A45" s="3" t="s">
        <v>220</v>
      </c>
      <c r="B45" s="17">
        <f>32711</f>
        <v>32711</v>
      </c>
      <c r="C45" s="17">
        <f>28177.5</f>
        <v>28177.5</v>
      </c>
      <c r="D45" s="17">
        <f>29147.7</f>
        <v>29147.7</v>
      </c>
      <c r="E45" s="17">
        <f>33245.46</f>
        <v>33245.46</v>
      </c>
      <c r="F45" s="17">
        <f>28961.98</f>
        <v>28961.98</v>
      </c>
      <c r="G45" s="17">
        <f>26338</f>
        <v>26338</v>
      </c>
      <c r="H45" s="17">
        <f>37754.89</f>
        <v>37754.89</v>
      </c>
      <c r="I45" s="17">
        <f>787.46</f>
        <v>787.46</v>
      </c>
      <c r="J45" s="17">
        <f>34537.81</f>
        <v>34537.81</v>
      </c>
      <c r="K45" s="17">
        <f>25860.38</f>
        <v>25860.38</v>
      </c>
      <c r="L45" s="22">
        <v>277522.18</v>
      </c>
      <c r="M45" s="27">
        <v>386250</v>
      </c>
      <c r="N45" s="32">
        <v>-108727.82</v>
      </c>
      <c r="O45" s="37">
        <v>0.71850402588996765</v>
      </c>
      <c r="P45" s="41">
        <v>463500</v>
      </c>
      <c r="Q45" s="45">
        <f t="shared" si="1"/>
        <v>0.59875335490830639</v>
      </c>
    </row>
    <row r="46" spans="1:17" hidden="1" x14ac:dyDescent="0.25">
      <c r="A46" s="3" t="s">
        <v>219</v>
      </c>
      <c r="B46" s="17">
        <f>7295.42</f>
        <v>7295.42</v>
      </c>
      <c r="C46" s="17">
        <f>5480.76</f>
        <v>5480.76</v>
      </c>
      <c r="D46" s="17">
        <f>6486.97</f>
        <v>6486.97</v>
      </c>
      <c r="E46" s="17">
        <f>6062.32</f>
        <v>6062.32</v>
      </c>
      <c r="F46" s="17">
        <f>7170.9</f>
        <v>7170.9</v>
      </c>
      <c r="G46" s="17">
        <f>7673.32</f>
        <v>7673.32</v>
      </c>
      <c r="H46" s="17">
        <f>10200.6</f>
        <v>10200.6</v>
      </c>
      <c r="I46" s="17">
        <f>6119.57</f>
        <v>6119.57</v>
      </c>
      <c r="J46" s="17">
        <f>7790.47</f>
        <v>7790.47</v>
      </c>
      <c r="K46" s="17">
        <f>-30256.18</f>
        <v>-30256.18</v>
      </c>
      <c r="L46" s="22">
        <v>34024.15</v>
      </c>
      <c r="M46" s="27">
        <v>52744.19999999999</v>
      </c>
      <c r="N46" s="32">
        <v>-18720.049999999988</v>
      </c>
      <c r="O46" s="37">
        <v>0.64507851100215774</v>
      </c>
      <c r="P46" s="41">
        <v>63292.999999999993</v>
      </c>
      <c r="Q46" s="45">
        <f t="shared" si="1"/>
        <v>0.53756576556649238</v>
      </c>
    </row>
    <row r="47" spans="1:17" hidden="1" x14ac:dyDescent="0.25">
      <c r="A47" s="3" t="s">
        <v>218</v>
      </c>
      <c r="B47" s="17">
        <f>49887.19</f>
        <v>49887.19</v>
      </c>
      <c r="C47" s="17">
        <f>92454.95</f>
        <v>92454.95</v>
      </c>
      <c r="D47" s="17">
        <f>45909.21</f>
        <v>45909.21</v>
      </c>
      <c r="E47" s="17">
        <f>44742.44</f>
        <v>44742.44</v>
      </c>
      <c r="F47" s="17">
        <f>27837.87</f>
        <v>27837.87</v>
      </c>
      <c r="G47" s="17">
        <f>43398.01</f>
        <v>43398.01</v>
      </c>
      <c r="H47" s="17">
        <f>47148.03</f>
        <v>47148.03</v>
      </c>
      <c r="I47" s="17">
        <f>37749.79</f>
        <v>37749.79</v>
      </c>
      <c r="J47" s="17">
        <f>39741.38</f>
        <v>39741.379999999997</v>
      </c>
      <c r="K47" s="17">
        <f>53383.95</f>
        <v>53383.95</v>
      </c>
      <c r="L47" s="22">
        <v>482252.81999999995</v>
      </c>
      <c r="M47" s="27">
        <v>588650.80000000005</v>
      </c>
      <c r="N47" s="32">
        <v>-106397.9800000001</v>
      </c>
      <c r="O47" s="37">
        <v>0.8192511077875031</v>
      </c>
      <c r="P47" s="41">
        <v>706381</v>
      </c>
      <c r="Q47" s="45">
        <f t="shared" si="1"/>
        <v>0.6827092178300378</v>
      </c>
    </row>
    <row r="48" spans="1:17" hidden="1" x14ac:dyDescent="0.25">
      <c r="A48" s="3" t="s">
        <v>217</v>
      </c>
      <c r="B48" s="17">
        <f>1654.11</f>
        <v>1654.11</v>
      </c>
      <c r="C48" s="17">
        <f>1009.25</f>
        <v>1009.25</v>
      </c>
      <c r="D48" s="17">
        <f>1576.74</f>
        <v>1576.74</v>
      </c>
      <c r="E48" s="17">
        <f>1545.26</f>
        <v>1545.26</v>
      </c>
      <c r="F48" s="17">
        <f>1070.33</f>
        <v>1070.33</v>
      </c>
      <c r="G48" s="17">
        <f>1089.32</f>
        <v>1089.32</v>
      </c>
      <c r="H48" s="17">
        <f>1793.49</f>
        <v>1793.49</v>
      </c>
      <c r="I48" s="17">
        <f>1220.03</f>
        <v>1220.03</v>
      </c>
      <c r="J48" s="17">
        <f>2235.03</f>
        <v>2235.0300000000002</v>
      </c>
      <c r="K48" s="17">
        <f>1981.95</f>
        <v>1981.95</v>
      </c>
      <c r="L48" s="22">
        <v>15175.510000000002</v>
      </c>
      <c r="M48" s="27">
        <v>16666.7</v>
      </c>
      <c r="N48" s="32">
        <v>-1491.1899999999987</v>
      </c>
      <c r="O48" s="37">
        <v>0.91052877894244222</v>
      </c>
      <c r="P48" s="41">
        <v>20000.000000000004</v>
      </c>
      <c r="Q48" s="45">
        <f t="shared" si="1"/>
        <v>0.75877549999999994</v>
      </c>
    </row>
    <row r="49" spans="1:17" hidden="1" x14ac:dyDescent="0.25">
      <c r="A49" s="3" t="s">
        <v>216</v>
      </c>
      <c r="B49" s="17">
        <f>2258.18</f>
        <v>2258.1799999999998</v>
      </c>
      <c r="C49" s="17">
        <f>1632.2</f>
        <v>1632.2</v>
      </c>
      <c r="D49" s="17">
        <f>2940.17</f>
        <v>2940.17</v>
      </c>
      <c r="E49" s="17">
        <f>1321.02</f>
        <v>1321.02</v>
      </c>
      <c r="F49" s="17">
        <f>1321.02</f>
        <v>1321.02</v>
      </c>
      <c r="G49" s="17">
        <f>1977.02</f>
        <v>1977.02</v>
      </c>
      <c r="H49" s="16"/>
      <c r="I49" s="17">
        <f>1571.15</f>
        <v>1571.15</v>
      </c>
      <c r="J49" s="17">
        <f>328</f>
        <v>328</v>
      </c>
      <c r="K49" s="17">
        <f>328</f>
        <v>328</v>
      </c>
      <c r="L49" s="22">
        <v>13676.76</v>
      </c>
      <c r="M49" s="27">
        <v>0</v>
      </c>
      <c r="N49" s="32">
        <v>13676.76</v>
      </c>
      <c r="O49" s="37" t="s">
        <v>287</v>
      </c>
      <c r="P49" s="41">
        <v>0</v>
      </c>
      <c r="Q49" s="45"/>
    </row>
    <row r="50" spans="1:17" hidden="1" x14ac:dyDescent="0.25">
      <c r="A50" s="3" t="s">
        <v>215</v>
      </c>
      <c r="B50" s="17">
        <f>10576.67</f>
        <v>10576.67</v>
      </c>
      <c r="C50" s="17">
        <f>11333.9</f>
        <v>11333.9</v>
      </c>
      <c r="D50" s="17">
        <f>3251.82</f>
        <v>3251.82</v>
      </c>
      <c r="E50" s="17">
        <f>2044.24</f>
        <v>2044.24</v>
      </c>
      <c r="F50" s="17">
        <f>161.69</f>
        <v>161.69</v>
      </c>
      <c r="G50" s="17">
        <f>677.47</f>
        <v>677.47</v>
      </c>
      <c r="H50" s="17">
        <f>2363.29</f>
        <v>2363.29</v>
      </c>
      <c r="I50" s="17">
        <f>6194.34</f>
        <v>6194.34</v>
      </c>
      <c r="J50" s="17">
        <f>2781.16</f>
        <v>2781.16</v>
      </c>
      <c r="K50" s="17">
        <f>3122.47</f>
        <v>3122.47</v>
      </c>
      <c r="L50" s="22">
        <v>42507.05</v>
      </c>
      <c r="M50" s="27">
        <v>58333.000000000007</v>
      </c>
      <c r="N50" s="32">
        <v>-15825.950000000004</v>
      </c>
      <c r="O50" s="37">
        <v>0.72869644969399816</v>
      </c>
      <c r="P50" s="41">
        <v>145333</v>
      </c>
      <c r="Q50" s="45">
        <f t="shared" si="1"/>
        <v>0.2924803726614052</v>
      </c>
    </row>
    <row r="51" spans="1:17" hidden="1" x14ac:dyDescent="0.25">
      <c r="A51" s="3" t="s">
        <v>214</v>
      </c>
      <c r="B51" s="16"/>
      <c r="C51" s="16"/>
      <c r="D51" s="16"/>
      <c r="E51" s="16"/>
      <c r="F51" s="16"/>
      <c r="G51" s="16"/>
      <c r="H51" s="16"/>
      <c r="I51" s="17">
        <f>262.15</f>
        <v>262.14999999999998</v>
      </c>
      <c r="J51" s="16"/>
      <c r="K51" s="16"/>
      <c r="L51" s="22">
        <v>262.14999999999998</v>
      </c>
      <c r="M51" s="27">
        <v>4333.3</v>
      </c>
      <c r="N51" s="32">
        <v>-4071.15</v>
      </c>
      <c r="O51" s="37">
        <v>6.0496619204763104E-2</v>
      </c>
      <c r="P51" s="41">
        <v>5200</v>
      </c>
      <c r="Q51" s="45">
        <f t="shared" si="1"/>
        <v>5.0413461538461532E-2</v>
      </c>
    </row>
    <row r="52" spans="1:17" hidden="1" x14ac:dyDescent="0.25">
      <c r="A52" s="3" t="s">
        <v>213</v>
      </c>
      <c r="B52" s="16"/>
      <c r="C52" s="17">
        <f>2051.93</f>
        <v>2051.9299999999998</v>
      </c>
      <c r="D52" s="17">
        <f>14841.95</f>
        <v>14841.95</v>
      </c>
      <c r="E52" s="17">
        <f>2292.6</f>
        <v>2292.6</v>
      </c>
      <c r="F52" s="16"/>
      <c r="G52" s="17">
        <f>580.89</f>
        <v>580.89</v>
      </c>
      <c r="H52" s="17">
        <f>50</f>
        <v>50</v>
      </c>
      <c r="I52" s="17">
        <f>3724.54</f>
        <v>3724.54</v>
      </c>
      <c r="J52" s="16"/>
      <c r="K52" s="17">
        <f>1933.83</f>
        <v>1933.83</v>
      </c>
      <c r="L52" s="22">
        <v>25475.739999999998</v>
      </c>
      <c r="M52" s="27">
        <v>25000</v>
      </c>
      <c r="N52" s="32">
        <v>475.73999999999796</v>
      </c>
      <c r="O52" s="37">
        <v>1.0190295999999999</v>
      </c>
      <c r="P52" s="41">
        <v>30000</v>
      </c>
      <c r="Q52" s="45">
        <f t="shared" si="1"/>
        <v>0.8491913333333333</v>
      </c>
    </row>
    <row r="53" spans="1:17" hidden="1" x14ac:dyDescent="0.25">
      <c r="A53" s="3" t="s">
        <v>212</v>
      </c>
      <c r="B53" s="16"/>
      <c r="C53" s="16"/>
      <c r="D53" s="16"/>
      <c r="E53" s="16"/>
      <c r="F53" s="16"/>
      <c r="G53" s="16"/>
      <c r="H53" s="17">
        <f>165.26</f>
        <v>165.26</v>
      </c>
      <c r="I53" s="16"/>
      <c r="J53" s="16"/>
      <c r="K53" s="17">
        <f>105.39</f>
        <v>105.39</v>
      </c>
      <c r="L53" s="22">
        <v>270.64999999999998</v>
      </c>
      <c r="M53" s="27">
        <v>8333.3000000000011</v>
      </c>
      <c r="N53" s="32">
        <v>-8062.6500000000015</v>
      </c>
      <c r="O53" s="37">
        <v>3.2478129912519645E-2</v>
      </c>
      <c r="P53" s="41">
        <v>10000.000000000002</v>
      </c>
      <c r="Q53" s="45">
        <f t="shared" si="1"/>
        <v>2.7064999999999992E-2</v>
      </c>
    </row>
    <row r="54" spans="1:17" hidden="1" x14ac:dyDescent="0.25">
      <c r="A54" s="3" t="s">
        <v>211</v>
      </c>
      <c r="B54" s="16"/>
      <c r="C54" s="16"/>
      <c r="D54" s="16"/>
      <c r="E54" s="16"/>
      <c r="F54" s="16"/>
      <c r="G54" s="16"/>
      <c r="H54" s="16"/>
      <c r="I54" s="16"/>
      <c r="J54" s="16"/>
      <c r="K54" s="17">
        <f>252.06</f>
        <v>252.06</v>
      </c>
      <c r="L54" s="22">
        <v>252.06</v>
      </c>
      <c r="M54" s="27">
        <v>25000</v>
      </c>
      <c r="N54" s="32">
        <v>-24747.94</v>
      </c>
      <c r="O54" s="37">
        <v>1.00824E-2</v>
      </c>
      <c r="P54" s="41">
        <v>30000</v>
      </c>
      <c r="Q54" s="45">
        <f t="shared" si="1"/>
        <v>8.4019999999999997E-3</v>
      </c>
    </row>
    <row r="55" spans="1:17" hidden="1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7"/>
      <c r="L55" s="22"/>
      <c r="M55" s="27"/>
      <c r="N55" s="32"/>
      <c r="O55" s="37"/>
      <c r="P55" s="42">
        <v>0</v>
      </c>
      <c r="Q55" s="46"/>
    </row>
    <row r="56" spans="1:17" x14ac:dyDescent="0.25">
      <c r="A56" s="3" t="s">
        <v>209</v>
      </c>
      <c r="B56" s="18">
        <f t="shared" ref="B56:K56" si="8">(((((((((((((((((B37)+(B38))+(B39))+(B40))+(B41))+(B42))+(B43))+(B44))+(B45))+(B46))+(B47))+(B48))+(B49))+(B50))+(B51))+(B52))+(B53))+(B54)</f>
        <v>405122.85</v>
      </c>
      <c r="C56" s="18">
        <f t="shared" si="8"/>
        <v>333393.28000000003</v>
      </c>
      <c r="D56" s="18">
        <f t="shared" si="8"/>
        <v>334945.16000000003</v>
      </c>
      <c r="E56" s="18">
        <f t="shared" si="8"/>
        <v>312414.26</v>
      </c>
      <c r="F56" s="18">
        <f t="shared" si="8"/>
        <v>274311.97000000003</v>
      </c>
      <c r="G56" s="18">
        <f t="shared" si="8"/>
        <v>297658.39</v>
      </c>
      <c r="H56" s="18">
        <f t="shared" si="8"/>
        <v>462031.09</v>
      </c>
      <c r="I56" s="18">
        <f t="shared" si="8"/>
        <v>270222.87</v>
      </c>
      <c r="J56" s="18">
        <f t="shared" si="8"/>
        <v>362983.81</v>
      </c>
      <c r="K56" s="18">
        <f t="shared" si="8"/>
        <v>265203.52999999997</v>
      </c>
      <c r="L56" s="23">
        <v>3318287.21</v>
      </c>
      <c r="M56" s="28">
        <v>3958356.0400000005</v>
      </c>
      <c r="N56" s="33">
        <v>-640068.83000000054</v>
      </c>
      <c r="O56" s="38">
        <v>0.8382993284252418</v>
      </c>
      <c r="P56" s="41">
        <v>4827810.0000000009</v>
      </c>
      <c r="Q56" s="45">
        <f t="shared" si="1"/>
        <v>0.68732763095482208</v>
      </c>
    </row>
    <row r="57" spans="1:17" hidden="1" x14ac:dyDescent="0.25">
      <c r="A57" s="3" t="s">
        <v>208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22">
        <v>0</v>
      </c>
      <c r="M57" s="27">
        <v>0</v>
      </c>
      <c r="N57" s="32">
        <v>0</v>
      </c>
      <c r="O57" s="37" t="s">
        <v>287</v>
      </c>
      <c r="P57" s="41">
        <v>0</v>
      </c>
      <c r="Q57" s="45"/>
    </row>
    <row r="58" spans="1:17" hidden="1" x14ac:dyDescent="0.25">
      <c r="A58" s="3" t="s">
        <v>207</v>
      </c>
      <c r="B58" s="17">
        <f>6287.52</f>
        <v>6287.52</v>
      </c>
      <c r="C58" s="17">
        <f>846.67</f>
        <v>846.67</v>
      </c>
      <c r="D58" s="17">
        <f>1693.34</f>
        <v>1693.34</v>
      </c>
      <c r="E58" s="17">
        <f>4202.5</f>
        <v>4202.5</v>
      </c>
      <c r="F58" s="17">
        <f>4202.5</f>
        <v>4202.5</v>
      </c>
      <c r="G58" s="17">
        <f>4202.5</f>
        <v>4202.5</v>
      </c>
      <c r="H58" s="17">
        <f>6231.93</f>
        <v>6231.93</v>
      </c>
      <c r="I58" s="17">
        <f>4202.5</f>
        <v>4202.5</v>
      </c>
      <c r="J58" s="17">
        <f>5217.21</f>
        <v>5217.21</v>
      </c>
      <c r="K58" s="17">
        <f>4202.5</f>
        <v>4202.5</v>
      </c>
      <c r="L58" s="22">
        <v>41289.17</v>
      </c>
      <c r="M58" s="27">
        <v>47053.30000000001</v>
      </c>
      <c r="N58" s="32">
        <v>-5764.1300000000119</v>
      </c>
      <c r="O58" s="37">
        <v>0.8774978588111777</v>
      </c>
      <c r="P58" s="41">
        <v>56464.000000000015</v>
      </c>
      <c r="Q58" s="45">
        <f t="shared" si="1"/>
        <v>0.73124769764805875</v>
      </c>
    </row>
    <row r="59" spans="1:17" hidden="1" x14ac:dyDescent="0.25">
      <c r="A59" s="3" t="s">
        <v>206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22">
        <v>0</v>
      </c>
      <c r="M59" s="27">
        <v>18272.400000000001</v>
      </c>
      <c r="N59" s="32">
        <v>-18272.400000000001</v>
      </c>
      <c r="O59" s="37">
        <v>0</v>
      </c>
      <c r="P59" s="41">
        <v>30454</v>
      </c>
      <c r="Q59" s="45">
        <f t="shared" si="1"/>
        <v>0</v>
      </c>
    </row>
    <row r="60" spans="1:17" hidden="1" x14ac:dyDescent="0.25">
      <c r="A60" s="3" t="s">
        <v>205</v>
      </c>
      <c r="B60" s="16"/>
      <c r="C60" s="16"/>
      <c r="D60" s="16"/>
      <c r="E60" s="16"/>
      <c r="F60" s="16"/>
      <c r="G60" s="16"/>
      <c r="H60" s="16"/>
      <c r="I60" s="17">
        <f>30220.3</f>
        <v>30220.3</v>
      </c>
      <c r="J60" s="16"/>
      <c r="K60" s="16"/>
      <c r="L60" s="22">
        <v>30220.3</v>
      </c>
      <c r="M60" s="27">
        <v>0</v>
      </c>
      <c r="N60" s="32">
        <v>30220.3</v>
      </c>
      <c r="O60" s="37" t="s">
        <v>287</v>
      </c>
      <c r="P60" s="41">
        <v>0</v>
      </c>
      <c r="Q60" s="45"/>
    </row>
    <row r="61" spans="1:17" hidden="1" x14ac:dyDescent="0.25">
      <c r="A61" s="3" t="s">
        <v>204</v>
      </c>
      <c r="B61" s="16"/>
      <c r="C61" s="16"/>
      <c r="D61" s="16"/>
      <c r="E61" s="16"/>
      <c r="F61" s="16"/>
      <c r="G61" s="16"/>
      <c r="H61" s="16"/>
      <c r="I61" s="16"/>
      <c r="J61" s="16"/>
      <c r="K61" s="17">
        <f>-442.16</f>
        <v>-442.16</v>
      </c>
      <c r="L61" s="22">
        <v>-442.16</v>
      </c>
      <c r="M61" s="27">
        <v>0</v>
      </c>
      <c r="N61" s="32">
        <v>-442.16</v>
      </c>
      <c r="O61" s="37" t="s">
        <v>287</v>
      </c>
      <c r="P61" s="41">
        <v>0</v>
      </c>
      <c r="Q61" s="45"/>
    </row>
    <row r="62" spans="1:17" hidden="1" x14ac:dyDescent="0.25">
      <c r="A62" s="3" t="s">
        <v>203</v>
      </c>
      <c r="B62" s="17">
        <f>1126.5</f>
        <v>1126.5</v>
      </c>
      <c r="C62" s="16"/>
      <c r="D62" s="17">
        <f>300</f>
        <v>300</v>
      </c>
      <c r="E62" s="17">
        <f>859.2</f>
        <v>859.2</v>
      </c>
      <c r="F62" s="17">
        <f>3220</f>
        <v>3220</v>
      </c>
      <c r="G62" s="17">
        <f>2600</f>
        <v>2600</v>
      </c>
      <c r="H62" s="17">
        <f>2400</f>
        <v>2400</v>
      </c>
      <c r="I62" s="17">
        <f>1277.64</f>
        <v>1277.6400000000001</v>
      </c>
      <c r="J62" s="17">
        <f>2313.01</f>
        <v>2313.0100000000002</v>
      </c>
      <c r="K62" s="16"/>
      <c r="L62" s="22">
        <v>14096.35</v>
      </c>
      <c r="M62" s="27">
        <v>11666.62</v>
      </c>
      <c r="N62" s="32">
        <v>2429.7299999999996</v>
      </c>
      <c r="O62" s="37">
        <v>1.2082634044821894</v>
      </c>
      <c r="P62" s="41">
        <v>14000.000000000002</v>
      </c>
      <c r="Q62" s="45">
        <f t="shared" si="1"/>
        <v>1.0068821428571428</v>
      </c>
    </row>
    <row r="63" spans="1:17" hidden="1" x14ac:dyDescent="0.25">
      <c r="A63" s="3" t="s">
        <v>202</v>
      </c>
      <c r="B63" s="17">
        <f>215.5</f>
        <v>215.5</v>
      </c>
      <c r="C63" s="17">
        <f>5698.28</f>
        <v>5698.28</v>
      </c>
      <c r="D63" s="17">
        <f>10630.45</f>
        <v>10630.45</v>
      </c>
      <c r="E63" s="17">
        <f>590.72</f>
        <v>590.72</v>
      </c>
      <c r="F63" s="17">
        <f>5709.22</f>
        <v>5709.22</v>
      </c>
      <c r="G63" s="17">
        <f>2512.47</f>
        <v>2512.4699999999998</v>
      </c>
      <c r="H63" s="17">
        <f>234.54</f>
        <v>234.54</v>
      </c>
      <c r="I63" s="17">
        <f>1482.08</f>
        <v>1482.08</v>
      </c>
      <c r="J63" s="17">
        <f>3225.38</f>
        <v>3225.38</v>
      </c>
      <c r="K63" s="16"/>
      <c r="L63" s="22">
        <v>30298.640000000003</v>
      </c>
      <c r="M63" s="27">
        <v>0</v>
      </c>
      <c r="N63" s="32">
        <v>30298.640000000003</v>
      </c>
      <c r="O63" s="37" t="s">
        <v>287</v>
      </c>
      <c r="P63" s="41">
        <v>0</v>
      </c>
      <c r="Q63" s="45"/>
    </row>
    <row r="64" spans="1:17" hidden="1" x14ac:dyDescent="0.25">
      <c r="A64" s="3" t="s">
        <v>201</v>
      </c>
      <c r="B64" s="16"/>
      <c r="C64" s="16"/>
      <c r="D64" s="16"/>
      <c r="E64" s="17">
        <f>44.99</f>
        <v>44.99</v>
      </c>
      <c r="F64" s="17">
        <f>1759</f>
        <v>1759</v>
      </c>
      <c r="G64" s="16"/>
      <c r="H64" s="16"/>
      <c r="I64" s="16"/>
      <c r="J64" s="17">
        <f>313.5</f>
        <v>313.5</v>
      </c>
      <c r="K64" s="16"/>
      <c r="L64" s="22">
        <v>2117.4899999999998</v>
      </c>
      <c r="M64" s="27">
        <v>0</v>
      </c>
      <c r="N64" s="32">
        <v>2117.4899999999998</v>
      </c>
      <c r="O64" s="37" t="s">
        <v>287</v>
      </c>
      <c r="P64" s="41">
        <v>0</v>
      </c>
      <c r="Q64" s="45"/>
    </row>
    <row r="65" spans="1:17" hidden="1" x14ac:dyDescent="0.25">
      <c r="A65" s="3" t="s">
        <v>200</v>
      </c>
      <c r="B65" s="16"/>
      <c r="C65" s="16"/>
      <c r="D65" s="16"/>
      <c r="E65" s="16"/>
      <c r="F65" s="16"/>
      <c r="G65" s="16"/>
      <c r="H65" s="16"/>
      <c r="I65" s="16"/>
      <c r="J65" s="17">
        <f>372</f>
        <v>372</v>
      </c>
      <c r="K65" s="17">
        <f>1748.75</f>
        <v>1748.75</v>
      </c>
      <c r="L65" s="22">
        <v>2120.75</v>
      </c>
      <c r="M65" s="27">
        <v>4166.68</v>
      </c>
      <c r="N65" s="32">
        <v>-2045.9300000000003</v>
      </c>
      <c r="O65" s="37">
        <v>0.50897837126921186</v>
      </c>
      <c r="P65" s="42">
        <v>5000</v>
      </c>
      <c r="Q65" s="46">
        <f t="shared" si="1"/>
        <v>0.42415000000000003</v>
      </c>
    </row>
    <row r="66" spans="1:17" x14ac:dyDescent="0.25">
      <c r="A66" s="3" t="s">
        <v>199</v>
      </c>
      <c r="B66" s="18">
        <f t="shared" ref="B66:K66" si="9">((((((((B57)+(B58))+(B59))+(B60))+(B61))+(B62))+(B63))+(B64))+(B65)</f>
        <v>7629.52</v>
      </c>
      <c r="C66" s="18">
        <f t="shared" si="9"/>
        <v>6544.95</v>
      </c>
      <c r="D66" s="18">
        <f t="shared" si="9"/>
        <v>12623.79</v>
      </c>
      <c r="E66" s="18">
        <f t="shared" si="9"/>
        <v>5697.41</v>
      </c>
      <c r="F66" s="18">
        <f t="shared" si="9"/>
        <v>14890.720000000001</v>
      </c>
      <c r="G66" s="18">
        <f t="shared" si="9"/>
        <v>9314.9699999999993</v>
      </c>
      <c r="H66" s="18">
        <f t="shared" si="9"/>
        <v>8866.4700000000012</v>
      </c>
      <c r="I66" s="18">
        <f t="shared" si="9"/>
        <v>37182.520000000004</v>
      </c>
      <c r="J66" s="18">
        <f t="shared" si="9"/>
        <v>11441.1</v>
      </c>
      <c r="K66" s="18">
        <f t="shared" si="9"/>
        <v>5509.09</v>
      </c>
      <c r="L66" s="23">
        <v>119700.54000000001</v>
      </c>
      <c r="M66" s="28">
        <v>81159</v>
      </c>
      <c r="N66" s="33">
        <v>38541.540000000008</v>
      </c>
      <c r="O66" s="38">
        <v>1.4748892913909735</v>
      </c>
      <c r="P66" s="41">
        <v>105918</v>
      </c>
      <c r="Q66" s="45">
        <f t="shared" si="1"/>
        <v>1.1301246247096812</v>
      </c>
    </row>
    <row r="67" spans="1:17" hidden="1" x14ac:dyDescent="0.25">
      <c r="A67" s="3" t="s">
        <v>198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22">
        <v>0</v>
      </c>
      <c r="M67" s="27">
        <v>52378.399999999994</v>
      </c>
      <c r="N67" s="32">
        <v>-52378.399999999994</v>
      </c>
      <c r="O67" s="37">
        <v>0</v>
      </c>
      <c r="P67" s="41">
        <v>62854</v>
      </c>
      <c r="Q67" s="45">
        <f t="shared" si="1"/>
        <v>0</v>
      </c>
    </row>
    <row r="68" spans="1:17" hidden="1" x14ac:dyDescent="0.25">
      <c r="A68" s="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22"/>
      <c r="M68" s="27"/>
      <c r="N68" s="32"/>
      <c r="O68" s="37"/>
      <c r="P68" s="41">
        <v>0</v>
      </c>
      <c r="Q68" s="45"/>
    </row>
    <row r="69" spans="1:17" hidden="1" x14ac:dyDescent="0.25">
      <c r="A69" s="3" t="s">
        <v>196</v>
      </c>
      <c r="B69" s="16"/>
      <c r="C69" s="17">
        <f>759.38</f>
        <v>759.38</v>
      </c>
      <c r="D69" s="17">
        <f>2500</f>
        <v>2500</v>
      </c>
      <c r="E69" s="16"/>
      <c r="F69" s="17">
        <f>0</f>
        <v>0</v>
      </c>
      <c r="G69" s="16"/>
      <c r="H69" s="16"/>
      <c r="I69" s="16"/>
      <c r="J69" s="16"/>
      <c r="K69" s="16"/>
      <c r="L69" s="22">
        <v>3259.38</v>
      </c>
      <c r="M69" s="27">
        <v>83333.3</v>
      </c>
      <c r="N69" s="32">
        <v>-80073.919999999998</v>
      </c>
      <c r="O69" s="37">
        <v>3.9112575645030255E-2</v>
      </c>
      <c r="P69" s="41">
        <v>100000</v>
      </c>
      <c r="Q69" s="45">
        <f t="shared" si="1"/>
        <v>3.2593799999999999E-2</v>
      </c>
    </row>
    <row r="70" spans="1:17" hidden="1" x14ac:dyDescent="0.25">
      <c r="A70" s="3" t="s">
        <v>195</v>
      </c>
      <c r="B70" s="16"/>
      <c r="C70" s="16"/>
      <c r="D70" s="16"/>
      <c r="E70" s="16"/>
      <c r="F70" s="16"/>
      <c r="G70" s="16"/>
      <c r="H70" s="16"/>
      <c r="I70" s="17">
        <f>313.5</f>
        <v>313.5</v>
      </c>
      <c r="J70" s="16"/>
      <c r="K70" s="16"/>
      <c r="L70" s="22">
        <v>313.5</v>
      </c>
      <c r="M70" s="27">
        <v>0</v>
      </c>
      <c r="N70" s="32">
        <v>313.5</v>
      </c>
      <c r="O70" s="37" t="s">
        <v>287</v>
      </c>
      <c r="P70" s="42">
        <v>0</v>
      </c>
      <c r="Q70" s="46"/>
    </row>
    <row r="71" spans="1:17" x14ac:dyDescent="0.25">
      <c r="A71" s="3" t="s">
        <v>194</v>
      </c>
      <c r="B71" s="18">
        <f t="shared" ref="B71:K71" si="10">((B67)+(B69))+(B70)</f>
        <v>0</v>
      </c>
      <c r="C71" s="18">
        <f t="shared" si="10"/>
        <v>759.38</v>
      </c>
      <c r="D71" s="18">
        <f t="shared" si="10"/>
        <v>2500</v>
      </c>
      <c r="E71" s="18">
        <f t="shared" si="10"/>
        <v>0</v>
      </c>
      <c r="F71" s="18">
        <f t="shared" si="10"/>
        <v>0</v>
      </c>
      <c r="G71" s="18">
        <f t="shared" si="10"/>
        <v>0</v>
      </c>
      <c r="H71" s="18">
        <f t="shared" si="10"/>
        <v>0</v>
      </c>
      <c r="I71" s="18">
        <f t="shared" si="10"/>
        <v>313.5</v>
      </c>
      <c r="J71" s="18">
        <f t="shared" si="10"/>
        <v>0</v>
      </c>
      <c r="K71" s="18">
        <f t="shared" si="10"/>
        <v>0</v>
      </c>
      <c r="L71" s="23">
        <v>3572.88</v>
      </c>
      <c r="M71" s="28">
        <v>135711.70000000001</v>
      </c>
      <c r="N71" s="33">
        <v>-132138.82</v>
      </c>
      <c r="O71" s="38">
        <v>2.6326985808887517E-2</v>
      </c>
      <c r="P71" s="41">
        <v>162854.00000000003</v>
      </c>
      <c r="Q71" s="45">
        <f t="shared" si="1"/>
        <v>2.1939160229407933E-2</v>
      </c>
    </row>
    <row r="72" spans="1:17" hidden="1" x14ac:dyDescent="0.25">
      <c r="A72" s="3" t="s">
        <v>193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22">
        <v>0</v>
      </c>
      <c r="M72" s="27">
        <v>0</v>
      </c>
      <c r="N72" s="32">
        <v>0</v>
      </c>
      <c r="O72" s="37" t="s">
        <v>287</v>
      </c>
      <c r="P72" s="41">
        <v>0</v>
      </c>
      <c r="Q72" s="45"/>
    </row>
    <row r="73" spans="1:17" hidden="1" x14ac:dyDescent="0.25">
      <c r="A73" s="3" t="s">
        <v>192</v>
      </c>
      <c r="B73" s="17">
        <f t="shared" ref="B73:G73" si="11">5028.34</f>
        <v>5028.34</v>
      </c>
      <c r="C73" s="17">
        <f t="shared" si="11"/>
        <v>5028.34</v>
      </c>
      <c r="D73" s="17">
        <f t="shared" si="11"/>
        <v>5028.34</v>
      </c>
      <c r="E73" s="17">
        <f t="shared" si="11"/>
        <v>5028.34</v>
      </c>
      <c r="F73" s="17">
        <f t="shared" si="11"/>
        <v>5028.34</v>
      </c>
      <c r="G73" s="17">
        <f t="shared" si="11"/>
        <v>5028.34</v>
      </c>
      <c r="H73" s="17">
        <f>7057.77</f>
        <v>7057.77</v>
      </c>
      <c r="I73" s="17">
        <f>5028.34</f>
        <v>5028.34</v>
      </c>
      <c r="J73" s="17">
        <f>6043.05</f>
        <v>6043.05</v>
      </c>
      <c r="K73" s="17">
        <f>5028.34</f>
        <v>5028.34</v>
      </c>
      <c r="L73" s="22">
        <v>53327.539999999994</v>
      </c>
      <c r="M73" s="27">
        <v>50283.30000000001</v>
      </c>
      <c r="N73" s="32">
        <v>3044.2399999999834</v>
      </c>
      <c r="O73" s="37">
        <v>1.0605417703293138</v>
      </c>
      <c r="P73" s="41">
        <v>60340.000000000015</v>
      </c>
      <c r="Q73" s="45">
        <f t="shared" si="1"/>
        <v>0.88378422273781876</v>
      </c>
    </row>
    <row r="74" spans="1:17" hidden="1" x14ac:dyDescent="0.25">
      <c r="A74" s="3" t="s">
        <v>191</v>
      </c>
      <c r="B74" s="17">
        <f>62.64</f>
        <v>62.64</v>
      </c>
      <c r="C74" s="17">
        <f>62.64</f>
        <v>62.64</v>
      </c>
      <c r="D74" s="17">
        <f>65.67</f>
        <v>65.67</v>
      </c>
      <c r="E74" s="17">
        <f>65.67</f>
        <v>65.67</v>
      </c>
      <c r="F74" s="16"/>
      <c r="G74" s="17">
        <f>65.67</f>
        <v>65.67</v>
      </c>
      <c r="H74" s="17">
        <f>65.67</f>
        <v>65.67</v>
      </c>
      <c r="I74" s="16"/>
      <c r="J74" s="16"/>
      <c r="K74" s="16"/>
      <c r="L74" s="22">
        <v>387.96000000000004</v>
      </c>
      <c r="M74" s="27">
        <v>0</v>
      </c>
      <c r="N74" s="32">
        <v>387.96000000000004</v>
      </c>
      <c r="O74" s="37" t="s">
        <v>287</v>
      </c>
      <c r="P74" s="41">
        <v>0</v>
      </c>
      <c r="Q74" s="45"/>
    </row>
    <row r="75" spans="1:17" hidden="1" x14ac:dyDescent="0.25">
      <c r="A75" s="3" t="s">
        <v>190</v>
      </c>
      <c r="B75" s="16"/>
      <c r="C75" s="16"/>
      <c r="D75" s="16"/>
      <c r="E75" s="16"/>
      <c r="F75" s="16"/>
      <c r="G75" s="16"/>
      <c r="H75" s="16"/>
      <c r="I75" s="16"/>
      <c r="J75" s="16"/>
      <c r="K75" s="17">
        <f>-301.7</f>
        <v>-301.7</v>
      </c>
      <c r="L75" s="22">
        <v>-301.7</v>
      </c>
      <c r="M75" s="27">
        <v>0</v>
      </c>
      <c r="N75" s="32">
        <v>-301.7</v>
      </c>
      <c r="O75" s="37" t="s">
        <v>287</v>
      </c>
      <c r="P75" s="41">
        <v>0</v>
      </c>
      <c r="Q75" s="45"/>
    </row>
    <row r="76" spans="1:17" hidden="1" x14ac:dyDescent="0.25">
      <c r="A76" s="3" t="s">
        <v>189</v>
      </c>
      <c r="B76" s="16"/>
      <c r="C76" s="16"/>
      <c r="D76" s="16"/>
      <c r="E76" s="16"/>
      <c r="F76" s="17">
        <f>35.77</f>
        <v>35.770000000000003</v>
      </c>
      <c r="G76" s="16"/>
      <c r="H76" s="16"/>
      <c r="I76" s="16"/>
      <c r="J76" s="16"/>
      <c r="K76" s="17">
        <f>8533.41</f>
        <v>8533.41</v>
      </c>
      <c r="L76" s="22">
        <v>8569.18</v>
      </c>
      <c r="M76" s="27">
        <v>0</v>
      </c>
      <c r="N76" s="32">
        <v>8569.18</v>
      </c>
      <c r="O76" s="37" t="s">
        <v>287</v>
      </c>
      <c r="P76" s="41">
        <v>0</v>
      </c>
      <c r="Q76" s="45"/>
    </row>
    <row r="77" spans="1:17" hidden="1" x14ac:dyDescent="0.25">
      <c r="A77" s="3" t="s">
        <v>188</v>
      </c>
      <c r="B77" s="16"/>
      <c r="C77" s="16"/>
      <c r="D77" s="17">
        <f>556.46</f>
        <v>556.46</v>
      </c>
      <c r="E77" s="16"/>
      <c r="F77" s="16"/>
      <c r="G77" s="16"/>
      <c r="H77" s="16"/>
      <c r="I77" s="16"/>
      <c r="J77" s="16"/>
      <c r="K77" s="16"/>
      <c r="L77" s="22">
        <v>556.46</v>
      </c>
      <c r="M77" s="27">
        <v>0</v>
      </c>
      <c r="N77" s="32">
        <v>556.46</v>
      </c>
      <c r="O77" s="37" t="s">
        <v>287</v>
      </c>
      <c r="P77" s="42">
        <v>0</v>
      </c>
      <c r="Q77" s="46"/>
    </row>
    <row r="78" spans="1:17" x14ac:dyDescent="0.25">
      <c r="A78" s="3" t="s">
        <v>187</v>
      </c>
      <c r="B78" s="18">
        <f t="shared" ref="B78:K78" si="12">(((((B72)+(B73))+(B74))+(B75))+(B76))+(B77)</f>
        <v>5090.9800000000005</v>
      </c>
      <c r="C78" s="18">
        <f t="shared" si="12"/>
        <v>5090.9800000000005</v>
      </c>
      <c r="D78" s="18">
        <f t="shared" si="12"/>
        <v>5650.47</v>
      </c>
      <c r="E78" s="18">
        <f t="shared" si="12"/>
        <v>5094.01</v>
      </c>
      <c r="F78" s="18">
        <f t="shared" si="12"/>
        <v>5064.1100000000006</v>
      </c>
      <c r="G78" s="18">
        <f t="shared" si="12"/>
        <v>5094.01</v>
      </c>
      <c r="H78" s="18">
        <f t="shared" si="12"/>
        <v>7123.4400000000005</v>
      </c>
      <c r="I78" s="18">
        <f t="shared" si="12"/>
        <v>5028.34</v>
      </c>
      <c r="J78" s="18">
        <f t="shared" si="12"/>
        <v>6043.05</v>
      </c>
      <c r="K78" s="18">
        <f t="shared" si="12"/>
        <v>13260.05</v>
      </c>
      <c r="L78" s="23">
        <v>62539.440000000017</v>
      </c>
      <c r="M78" s="28">
        <v>50283.30000000001</v>
      </c>
      <c r="N78" s="33">
        <v>12256.140000000007</v>
      </c>
      <c r="O78" s="38">
        <v>1.2437417591924158</v>
      </c>
      <c r="P78" s="41">
        <v>60340.000000000015</v>
      </c>
      <c r="Q78" s="45">
        <f t="shared" si="1"/>
        <v>1.0364507789194564</v>
      </c>
    </row>
    <row r="79" spans="1:17" hidden="1" x14ac:dyDescent="0.25">
      <c r="A79" s="3" t="s">
        <v>186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22">
        <v>0</v>
      </c>
      <c r="M79" s="27">
        <v>0</v>
      </c>
      <c r="N79" s="32">
        <v>0</v>
      </c>
      <c r="O79" s="37" t="s">
        <v>287</v>
      </c>
      <c r="P79" s="41">
        <v>0</v>
      </c>
      <c r="Q79" s="45"/>
    </row>
    <row r="80" spans="1:17" hidden="1" x14ac:dyDescent="0.25">
      <c r="A80" s="3" t="s">
        <v>185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22">
        <v>0</v>
      </c>
      <c r="M80" s="27">
        <v>37915.80000000001</v>
      </c>
      <c r="N80" s="32">
        <v>-37915.80000000001</v>
      </c>
      <c r="O80" s="37">
        <v>0</v>
      </c>
      <c r="P80" s="41">
        <v>45499.000000000015</v>
      </c>
      <c r="Q80" s="45">
        <f t="shared" ref="Q80:Q140" si="13">L80/P80</f>
        <v>0</v>
      </c>
    </row>
    <row r="81" spans="1:17" hidden="1" x14ac:dyDescent="0.25">
      <c r="A81" s="3" t="s">
        <v>184</v>
      </c>
      <c r="B81" s="17">
        <f>3333.32</f>
        <v>3333.32</v>
      </c>
      <c r="C81" s="17">
        <f>3333.32</f>
        <v>3333.32</v>
      </c>
      <c r="D81" s="17">
        <f>3333.32</f>
        <v>3333.32</v>
      </c>
      <c r="E81" s="17">
        <f>3333.32</f>
        <v>3333.32</v>
      </c>
      <c r="F81" s="17">
        <f>1083.35</f>
        <v>1083.3499999999999</v>
      </c>
      <c r="G81" s="17">
        <f>0</f>
        <v>0</v>
      </c>
      <c r="H81" s="17">
        <f>3493.14</f>
        <v>3493.14</v>
      </c>
      <c r="I81" s="17">
        <f>3333.32</f>
        <v>3333.32</v>
      </c>
      <c r="J81" s="17">
        <f>4956.86</f>
        <v>4956.8599999999997</v>
      </c>
      <c r="K81" s="17">
        <f>7974.02</f>
        <v>7974.02</v>
      </c>
      <c r="L81" s="22">
        <v>34173.97</v>
      </c>
      <c r="M81" s="27">
        <v>61343.30000000001</v>
      </c>
      <c r="N81" s="32">
        <v>-27169.330000000009</v>
      </c>
      <c r="O81" s="37">
        <v>0.55709376574132785</v>
      </c>
      <c r="P81" s="41">
        <v>73612</v>
      </c>
      <c r="Q81" s="45">
        <f t="shared" si="13"/>
        <v>0.46424455251861113</v>
      </c>
    </row>
    <row r="82" spans="1:17" hidden="1" x14ac:dyDescent="0.25">
      <c r="A82" s="3" t="s">
        <v>183</v>
      </c>
      <c r="B82" s="16"/>
      <c r="C82" s="16"/>
      <c r="D82" s="16"/>
      <c r="E82" s="16"/>
      <c r="F82" s="16"/>
      <c r="G82" s="16"/>
      <c r="H82" s="17">
        <f>636.52</f>
        <v>636.52</v>
      </c>
      <c r="I82" s="16"/>
      <c r="J82" s="17">
        <f>1287.48</f>
        <v>1287.48</v>
      </c>
      <c r="K82" s="17">
        <f>8654.26</f>
        <v>8654.26</v>
      </c>
      <c r="L82" s="22">
        <v>10578.26</v>
      </c>
      <c r="M82" s="27">
        <v>0</v>
      </c>
      <c r="N82" s="32">
        <v>10578.26</v>
      </c>
      <c r="O82" s="37" t="s">
        <v>287</v>
      </c>
      <c r="P82" s="41">
        <v>0</v>
      </c>
      <c r="Q82" s="45"/>
    </row>
    <row r="83" spans="1:17" hidden="1" x14ac:dyDescent="0.25">
      <c r="A83" s="3" t="s">
        <v>182</v>
      </c>
      <c r="B83" s="16"/>
      <c r="C83" s="16"/>
      <c r="D83" s="16"/>
      <c r="E83" s="16"/>
      <c r="F83" s="16"/>
      <c r="G83" s="16"/>
      <c r="H83" s="16"/>
      <c r="I83" s="17">
        <f>7650.68</f>
        <v>7650.68</v>
      </c>
      <c r="J83" s="17">
        <f>5754.42</f>
        <v>5754.42</v>
      </c>
      <c r="K83" s="17">
        <f>-478.44</f>
        <v>-478.44</v>
      </c>
      <c r="L83" s="22">
        <v>12926.66</v>
      </c>
      <c r="M83" s="27">
        <v>0</v>
      </c>
      <c r="N83" s="32">
        <v>12926.66</v>
      </c>
      <c r="O83" s="37" t="s">
        <v>287</v>
      </c>
      <c r="P83" s="41">
        <v>0</v>
      </c>
      <c r="Q83" s="45"/>
    </row>
    <row r="84" spans="1:17" hidden="1" x14ac:dyDescent="0.25">
      <c r="A84" s="3" t="s">
        <v>181</v>
      </c>
      <c r="B84" s="16"/>
      <c r="C84" s="16"/>
      <c r="D84" s="16"/>
      <c r="E84" s="16"/>
      <c r="F84" s="16"/>
      <c r="G84" s="16"/>
      <c r="H84" s="16"/>
      <c r="I84" s="17">
        <f>193.37</f>
        <v>193.37</v>
      </c>
      <c r="J84" s="16"/>
      <c r="K84" s="16"/>
      <c r="L84" s="22">
        <v>193.37</v>
      </c>
      <c r="M84" s="27">
        <v>0</v>
      </c>
      <c r="N84" s="32">
        <v>193.37</v>
      </c>
      <c r="O84" s="37" t="s">
        <v>287</v>
      </c>
      <c r="P84" s="41">
        <v>0</v>
      </c>
      <c r="Q84" s="45"/>
    </row>
    <row r="85" spans="1:17" hidden="1" x14ac:dyDescent="0.25">
      <c r="A85" s="3" t="s">
        <v>180</v>
      </c>
      <c r="B85" s="16"/>
      <c r="C85" s="16"/>
      <c r="D85" s="16"/>
      <c r="E85" s="16"/>
      <c r="F85" s="16"/>
      <c r="G85" s="16"/>
      <c r="H85" s="16"/>
      <c r="I85" s="17">
        <f>77.87</f>
        <v>77.87</v>
      </c>
      <c r="J85" s="16"/>
      <c r="K85" s="16"/>
      <c r="L85" s="22">
        <v>77.87</v>
      </c>
      <c r="M85" s="27">
        <v>0</v>
      </c>
      <c r="N85" s="32">
        <v>77.87</v>
      </c>
      <c r="O85" s="37" t="s">
        <v>287</v>
      </c>
      <c r="P85" s="41">
        <v>0</v>
      </c>
      <c r="Q85" s="45"/>
    </row>
    <row r="86" spans="1:17" hidden="1" x14ac:dyDescent="0.25">
      <c r="A86" s="3" t="s">
        <v>179</v>
      </c>
      <c r="B86" s="16"/>
      <c r="C86" s="17">
        <f>509.21</f>
        <v>509.21</v>
      </c>
      <c r="D86" s="17">
        <f>165</f>
        <v>165</v>
      </c>
      <c r="E86" s="17">
        <f>320.41</f>
        <v>320.41000000000003</v>
      </c>
      <c r="F86" s="16"/>
      <c r="G86" s="16"/>
      <c r="H86" s="16"/>
      <c r="I86" s="17">
        <f>189.51</f>
        <v>189.51</v>
      </c>
      <c r="J86" s="17">
        <f>950.29</f>
        <v>950.29</v>
      </c>
      <c r="K86" s="17">
        <f>516.98</f>
        <v>516.98</v>
      </c>
      <c r="L86" s="22">
        <v>2651.4</v>
      </c>
      <c r="M86" s="27">
        <v>0</v>
      </c>
      <c r="N86" s="32">
        <v>2651.4</v>
      </c>
      <c r="O86" s="37" t="s">
        <v>287</v>
      </c>
      <c r="P86" s="41">
        <v>0</v>
      </c>
      <c r="Q86" s="45"/>
    </row>
    <row r="87" spans="1:17" hidden="1" x14ac:dyDescent="0.25">
      <c r="A87" s="3" t="s">
        <v>178</v>
      </c>
      <c r="B87" s="16"/>
      <c r="C87" s="16"/>
      <c r="D87" s="17">
        <f>30</f>
        <v>30</v>
      </c>
      <c r="E87" s="16"/>
      <c r="F87" s="16"/>
      <c r="G87" s="16"/>
      <c r="H87" s="17">
        <f>90</f>
        <v>90</v>
      </c>
      <c r="I87" s="16"/>
      <c r="J87" s="17">
        <f>216.26</f>
        <v>216.26</v>
      </c>
      <c r="K87" s="17">
        <f>200</f>
        <v>200</v>
      </c>
      <c r="L87" s="22">
        <v>536.26</v>
      </c>
      <c r="M87" s="27">
        <v>0</v>
      </c>
      <c r="N87" s="32">
        <v>536.26</v>
      </c>
      <c r="O87" s="37" t="s">
        <v>287</v>
      </c>
      <c r="P87" s="41">
        <v>0</v>
      </c>
      <c r="Q87" s="45"/>
    </row>
    <row r="88" spans="1:17" hidden="1" x14ac:dyDescent="0.25">
      <c r="A88" s="3" t="s">
        <v>177</v>
      </c>
      <c r="B88" s="16"/>
      <c r="C88" s="16"/>
      <c r="D88" s="17">
        <f>2854.73</f>
        <v>2854.73</v>
      </c>
      <c r="E88" s="16"/>
      <c r="F88" s="16"/>
      <c r="G88" s="16"/>
      <c r="H88" s="16"/>
      <c r="I88" s="16"/>
      <c r="J88" s="16"/>
      <c r="K88" s="16"/>
      <c r="L88" s="22">
        <v>2854.73</v>
      </c>
      <c r="M88" s="27">
        <v>0</v>
      </c>
      <c r="N88" s="32">
        <v>2854.73</v>
      </c>
      <c r="O88" s="37" t="s">
        <v>287</v>
      </c>
      <c r="P88" s="41">
        <v>0</v>
      </c>
      <c r="Q88" s="45"/>
    </row>
    <row r="89" spans="1:17" hidden="1" x14ac:dyDescent="0.25">
      <c r="A89" s="3" t="s">
        <v>176</v>
      </c>
      <c r="B89" s="16"/>
      <c r="C89" s="16"/>
      <c r="D89" s="16"/>
      <c r="E89" s="16"/>
      <c r="F89" s="16"/>
      <c r="G89" s="16"/>
      <c r="H89" s="16"/>
      <c r="I89" s="16"/>
      <c r="J89" s="17">
        <f>90</f>
        <v>90</v>
      </c>
      <c r="K89" s="16"/>
      <c r="L89" s="22">
        <v>90</v>
      </c>
      <c r="M89" s="27">
        <v>0</v>
      </c>
      <c r="N89" s="32">
        <v>90</v>
      </c>
      <c r="O89" s="37" t="s">
        <v>287</v>
      </c>
      <c r="P89" s="42">
        <v>0</v>
      </c>
      <c r="Q89" s="46"/>
    </row>
    <row r="90" spans="1:17" x14ac:dyDescent="0.25">
      <c r="A90" s="3" t="s">
        <v>175</v>
      </c>
      <c r="B90" s="18">
        <f t="shared" ref="B90:K90" si="14">((((((((((B79)+(B80))+(B81))+(B82))+(B83))+(B84))+(B85))+(B86))+(B87))+(B88))+(B89)</f>
        <v>3333.32</v>
      </c>
      <c r="C90" s="18">
        <f t="shared" si="14"/>
        <v>3842.53</v>
      </c>
      <c r="D90" s="18">
        <f t="shared" si="14"/>
        <v>6383.05</v>
      </c>
      <c r="E90" s="18">
        <f t="shared" si="14"/>
        <v>3653.73</v>
      </c>
      <c r="F90" s="18">
        <f t="shared" si="14"/>
        <v>1083.3499999999999</v>
      </c>
      <c r="G90" s="18">
        <f t="shared" si="14"/>
        <v>0</v>
      </c>
      <c r="H90" s="18">
        <f t="shared" si="14"/>
        <v>4219.66</v>
      </c>
      <c r="I90" s="18">
        <f t="shared" si="14"/>
        <v>11444.750000000002</v>
      </c>
      <c r="J90" s="18">
        <f t="shared" si="14"/>
        <v>13255.31</v>
      </c>
      <c r="K90" s="18">
        <f t="shared" si="14"/>
        <v>16866.82</v>
      </c>
      <c r="L90" s="23">
        <v>64082.52</v>
      </c>
      <c r="M90" s="28">
        <v>99259.10000000002</v>
      </c>
      <c r="N90" s="33">
        <v>-35176.580000000024</v>
      </c>
      <c r="O90" s="38">
        <v>0.64560851347634607</v>
      </c>
      <c r="P90" s="41">
        <v>119111.00000000001</v>
      </c>
      <c r="Q90" s="45">
        <f t="shared" si="13"/>
        <v>0.53800673321523607</v>
      </c>
    </row>
    <row r="91" spans="1:17" hidden="1" x14ac:dyDescent="0.25">
      <c r="A91" s="3" t="s">
        <v>174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22">
        <v>0</v>
      </c>
      <c r="M91" s="27">
        <v>0</v>
      </c>
      <c r="N91" s="32">
        <v>0</v>
      </c>
      <c r="O91" s="37" t="s">
        <v>287</v>
      </c>
      <c r="P91" s="41">
        <v>0</v>
      </c>
      <c r="Q91" s="45"/>
    </row>
    <row r="92" spans="1:17" hidden="1" x14ac:dyDescent="0.25">
      <c r="A92" s="3" t="s">
        <v>173</v>
      </c>
      <c r="B92" s="16"/>
      <c r="C92" s="16"/>
      <c r="D92" s="16"/>
      <c r="E92" s="16"/>
      <c r="F92" s="16"/>
      <c r="G92" s="16"/>
      <c r="H92" s="17">
        <f>5208.34</f>
        <v>5208.34</v>
      </c>
      <c r="I92" s="17">
        <f>10416.68</f>
        <v>10416.68</v>
      </c>
      <c r="J92" s="17">
        <f>10416.68</f>
        <v>10416.68</v>
      </c>
      <c r="K92" s="17">
        <f>10416.68</f>
        <v>10416.68</v>
      </c>
      <c r="L92" s="22">
        <v>36458.380000000005</v>
      </c>
      <c r="M92" s="27">
        <v>0</v>
      </c>
      <c r="N92" s="32">
        <v>36458.380000000005</v>
      </c>
      <c r="O92" s="37" t="s">
        <v>287</v>
      </c>
      <c r="P92" s="41">
        <v>0</v>
      </c>
      <c r="Q92" s="45"/>
    </row>
    <row r="93" spans="1:17" hidden="1" x14ac:dyDescent="0.25">
      <c r="A93" s="3" t="s">
        <v>172</v>
      </c>
      <c r="B93" s="17">
        <f>12462.51</f>
        <v>12462.51</v>
      </c>
      <c r="C93" s="17">
        <f>14039.78</f>
        <v>14039.78</v>
      </c>
      <c r="D93" s="17">
        <f>17164.82</f>
        <v>17164.82</v>
      </c>
      <c r="E93" s="17">
        <f>6748.16</f>
        <v>6748.16</v>
      </c>
      <c r="F93" s="17">
        <f>6748.16</f>
        <v>6748.16</v>
      </c>
      <c r="G93" s="17">
        <f>6748.16</f>
        <v>6748.16</v>
      </c>
      <c r="H93" s="17">
        <f>8777.59</f>
        <v>8777.59</v>
      </c>
      <c r="I93" s="17">
        <f>6748.16</f>
        <v>6748.16</v>
      </c>
      <c r="J93" s="17">
        <f>7762.87</f>
        <v>7762.87</v>
      </c>
      <c r="K93" s="17">
        <f>6748.08</f>
        <v>6748.08</v>
      </c>
      <c r="L93" s="22">
        <v>93948.290000000008</v>
      </c>
      <c r="M93" s="27">
        <v>125820.8</v>
      </c>
      <c r="N93" s="32">
        <v>-31872.509999999995</v>
      </c>
      <c r="O93" s="37">
        <v>0.74668329878684614</v>
      </c>
      <c r="P93" s="41">
        <v>150985</v>
      </c>
      <c r="Q93" s="45">
        <f t="shared" si="13"/>
        <v>0.62223591747524598</v>
      </c>
    </row>
    <row r="94" spans="1:17" hidden="1" x14ac:dyDescent="0.25">
      <c r="A94" s="3" t="s">
        <v>171</v>
      </c>
      <c r="B94" s="17">
        <f>3125.31</f>
        <v>3125.31</v>
      </c>
      <c r="C94" s="17">
        <f>3125.62</f>
        <v>3125.62</v>
      </c>
      <c r="D94" s="17">
        <f>4563.12</f>
        <v>4563.12</v>
      </c>
      <c r="E94" s="17">
        <f>6000</f>
        <v>6000</v>
      </c>
      <c r="F94" s="17">
        <f>4090</f>
        <v>4090</v>
      </c>
      <c r="G94" s="17">
        <f>6666.68</f>
        <v>6666.68</v>
      </c>
      <c r="H94" s="17">
        <f>8696.11</f>
        <v>8696.11</v>
      </c>
      <c r="I94" s="17">
        <f>6666.68</f>
        <v>6666.68</v>
      </c>
      <c r="J94" s="17">
        <f>8746.84</f>
        <v>8746.84</v>
      </c>
      <c r="K94" s="17">
        <f>6666.68</f>
        <v>6666.68</v>
      </c>
      <c r="L94" s="22">
        <v>58347.040000000001</v>
      </c>
      <c r="M94" s="27">
        <v>45950.80000000001</v>
      </c>
      <c r="N94" s="32">
        <v>12396.239999999991</v>
      </c>
      <c r="O94" s="37">
        <v>1.2697720170269067</v>
      </c>
      <c r="P94" s="41">
        <v>55141.000000000015</v>
      </c>
      <c r="Q94" s="45">
        <f t="shared" si="13"/>
        <v>1.0581425799314481</v>
      </c>
    </row>
    <row r="95" spans="1:17" hidden="1" x14ac:dyDescent="0.25">
      <c r="A95" s="3" t="s">
        <v>170</v>
      </c>
      <c r="B95" s="16"/>
      <c r="C95" s="17">
        <f>981.75</f>
        <v>981.75</v>
      </c>
      <c r="D95" s="17">
        <f>1226.5</f>
        <v>1226.5</v>
      </c>
      <c r="E95" s="17">
        <f>1311.75</f>
        <v>1311.75</v>
      </c>
      <c r="F95" s="17">
        <f>1193.5</f>
        <v>1193.5</v>
      </c>
      <c r="G95" s="17">
        <f>792</f>
        <v>792</v>
      </c>
      <c r="H95" s="17">
        <f>1162.92</f>
        <v>1162.92</v>
      </c>
      <c r="I95" s="17">
        <f>1309</f>
        <v>1309</v>
      </c>
      <c r="J95" s="17">
        <f>3266.36</f>
        <v>3266.36</v>
      </c>
      <c r="K95" s="17">
        <f>1754.5</f>
        <v>1754.5</v>
      </c>
      <c r="L95" s="22">
        <v>12998.28</v>
      </c>
      <c r="M95" s="27">
        <v>43827.5</v>
      </c>
      <c r="N95" s="32">
        <v>-30829.22</v>
      </c>
      <c r="O95" s="37">
        <v>0.2965781758028635</v>
      </c>
      <c r="P95" s="41">
        <v>52593</v>
      </c>
      <c r="Q95" s="45">
        <f t="shared" si="13"/>
        <v>0.24714847983571958</v>
      </c>
    </row>
    <row r="96" spans="1:17" hidden="1" x14ac:dyDescent="0.25">
      <c r="A96" s="3" t="s">
        <v>169</v>
      </c>
      <c r="B96" s="17">
        <f>9880.8</f>
        <v>9880.7999999999993</v>
      </c>
      <c r="C96" s="17">
        <f>10130.8</f>
        <v>10130.799999999999</v>
      </c>
      <c r="D96" s="17">
        <f>9880.8</f>
        <v>9880.7999999999993</v>
      </c>
      <c r="E96" s="17">
        <f>9880.8</f>
        <v>9880.7999999999993</v>
      </c>
      <c r="F96" s="17">
        <f>10380.8</f>
        <v>10380.799999999999</v>
      </c>
      <c r="G96" s="17">
        <f>10380.8</f>
        <v>10380.799999999999</v>
      </c>
      <c r="H96" s="17">
        <f>11254.19</f>
        <v>11254.19</v>
      </c>
      <c r="I96" s="17">
        <f>7723.66</f>
        <v>7723.66</v>
      </c>
      <c r="J96" s="17">
        <f>9753.08</f>
        <v>9753.08</v>
      </c>
      <c r="K96" s="17">
        <f>10123.66</f>
        <v>10123.66</v>
      </c>
      <c r="L96" s="22">
        <v>99389.390000000014</v>
      </c>
      <c r="M96" s="27">
        <v>100891.60000000002</v>
      </c>
      <c r="N96" s="32">
        <v>-1502.2100000000064</v>
      </c>
      <c r="O96" s="37">
        <v>0.98511065341415927</v>
      </c>
      <c r="P96" s="41">
        <v>121070.00000000003</v>
      </c>
      <c r="Q96" s="45">
        <f t="shared" si="13"/>
        <v>0.82092500206492103</v>
      </c>
    </row>
    <row r="97" spans="1:17" hidden="1" x14ac:dyDescent="0.25">
      <c r="A97" s="3" t="s">
        <v>168</v>
      </c>
      <c r="B97" s="16"/>
      <c r="C97" s="16"/>
      <c r="D97" s="16"/>
      <c r="E97" s="16"/>
      <c r="F97" s="16"/>
      <c r="G97" s="16"/>
      <c r="H97" s="17">
        <f>0</f>
        <v>0</v>
      </c>
      <c r="I97" s="17">
        <f>2083.33</f>
        <v>2083.33</v>
      </c>
      <c r="J97" s="17">
        <f>5181.37</f>
        <v>5181.37</v>
      </c>
      <c r="K97" s="17">
        <f>0</f>
        <v>0</v>
      </c>
      <c r="L97" s="22">
        <v>7264.7</v>
      </c>
      <c r="M97" s="27">
        <v>82291.60000000002</v>
      </c>
      <c r="N97" s="32">
        <v>-75026.900000000023</v>
      </c>
      <c r="O97" s="37">
        <v>8.8279970252127776E-2</v>
      </c>
      <c r="P97" s="41">
        <v>98750.000000000015</v>
      </c>
      <c r="Q97" s="45">
        <f t="shared" si="13"/>
        <v>7.3566582278480994E-2</v>
      </c>
    </row>
    <row r="98" spans="1:17" hidden="1" x14ac:dyDescent="0.25">
      <c r="A98" s="3" t="s">
        <v>167</v>
      </c>
      <c r="B98" s="17">
        <f>3218</f>
        <v>3218</v>
      </c>
      <c r="C98" s="17">
        <f>0</f>
        <v>0</v>
      </c>
      <c r="D98" s="17">
        <f>0</f>
        <v>0</v>
      </c>
      <c r="E98" s="17">
        <f>0</f>
        <v>0</v>
      </c>
      <c r="F98" s="16"/>
      <c r="G98" s="16"/>
      <c r="H98" s="16"/>
      <c r="I98" s="16"/>
      <c r="J98" s="16"/>
      <c r="K98" s="16"/>
      <c r="L98" s="22">
        <v>3218</v>
      </c>
      <c r="M98" s="27">
        <v>0</v>
      </c>
      <c r="N98" s="32">
        <v>3218</v>
      </c>
      <c r="O98" s="37" t="s">
        <v>287</v>
      </c>
      <c r="P98" s="41">
        <v>0</v>
      </c>
      <c r="Q98" s="45"/>
    </row>
    <row r="99" spans="1:17" hidden="1" x14ac:dyDescent="0.25">
      <c r="A99" s="3" t="s">
        <v>166</v>
      </c>
      <c r="B99" s="17">
        <f>4583.34</f>
        <v>4583.34</v>
      </c>
      <c r="C99" s="17">
        <f>3333.34</f>
        <v>3333.34</v>
      </c>
      <c r="D99" s="17">
        <f>3333.34</f>
        <v>3333.34</v>
      </c>
      <c r="E99" s="17">
        <f>3333.34</f>
        <v>3333.34</v>
      </c>
      <c r="F99" s="17">
        <f>3333.34</f>
        <v>3333.34</v>
      </c>
      <c r="G99" s="17">
        <f>3333.34</f>
        <v>3333.34</v>
      </c>
      <c r="H99" s="17">
        <f>3924.75</f>
        <v>3924.75</v>
      </c>
      <c r="I99" s="17">
        <f>3433.34</f>
        <v>3433.34</v>
      </c>
      <c r="J99" s="17">
        <f>4516.18</f>
        <v>4516.18</v>
      </c>
      <c r="K99" s="17">
        <f>3433.34</f>
        <v>3433.34</v>
      </c>
      <c r="L99" s="22">
        <v>36557.649999999994</v>
      </c>
      <c r="M99" s="27">
        <v>13677</v>
      </c>
      <c r="N99" s="32">
        <v>22880.649999999994</v>
      </c>
      <c r="O99" s="37">
        <v>2.6729290048987346</v>
      </c>
      <c r="P99" s="41">
        <v>22795</v>
      </c>
      <c r="Q99" s="45">
        <f t="shared" si="13"/>
        <v>1.6037574029392407</v>
      </c>
    </row>
    <row r="100" spans="1:17" hidden="1" x14ac:dyDescent="0.25">
      <c r="A100" s="3" t="s">
        <v>165</v>
      </c>
      <c r="B100" s="17">
        <f>771.26</f>
        <v>771.26</v>
      </c>
      <c r="C100" s="17">
        <f>504.79</f>
        <v>504.79</v>
      </c>
      <c r="D100" s="17">
        <f>613.01</f>
        <v>613.01</v>
      </c>
      <c r="E100" s="17">
        <f>613.01</f>
        <v>613.01</v>
      </c>
      <c r="F100" s="16"/>
      <c r="G100" s="17">
        <f>602.97</f>
        <v>602.97</v>
      </c>
      <c r="H100" s="17">
        <f>602.97</f>
        <v>602.97</v>
      </c>
      <c r="I100" s="16"/>
      <c r="J100" s="16"/>
      <c r="K100" s="17">
        <f>1606.74</f>
        <v>1606.74</v>
      </c>
      <c r="L100" s="22">
        <v>5314.75</v>
      </c>
      <c r="M100" s="27">
        <v>0</v>
      </c>
      <c r="N100" s="32">
        <v>5314.75</v>
      </c>
      <c r="O100" s="37" t="s">
        <v>287</v>
      </c>
      <c r="P100" s="41">
        <v>0</v>
      </c>
      <c r="Q100" s="45"/>
    </row>
    <row r="101" spans="1:17" hidden="1" x14ac:dyDescent="0.25">
      <c r="A101" s="3" t="s">
        <v>164</v>
      </c>
      <c r="B101" s="16"/>
      <c r="C101" s="16"/>
      <c r="D101" s="16"/>
      <c r="E101" s="16"/>
      <c r="F101" s="16"/>
      <c r="G101" s="16"/>
      <c r="H101" s="16"/>
      <c r="I101" s="16"/>
      <c r="J101" s="17">
        <f>3059.29</f>
        <v>3059.29</v>
      </c>
      <c r="K101" s="17">
        <f>-1893.3</f>
        <v>-1893.3</v>
      </c>
      <c r="L101" s="22">
        <v>1165.99</v>
      </c>
      <c r="M101" s="27">
        <v>0</v>
      </c>
      <c r="N101" s="32">
        <v>1165.99</v>
      </c>
      <c r="O101" s="37" t="s">
        <v>287</v>
      </c>
      <c r="P101" s="41">
        <v>0</v>
      </c>
      <c r="Q101" s="45"/>
    </row>
    <row r="102" spans="1:17" hidden="1" x14ac:dyDescent="0.25">
      <c r="A102" s="3" t="s">
        <v>163</v>
      </c>
      <c r="B102" s="17">
        <f>4200</f>
        <v>4200</v>
      </c>
      <c r="C102" s="17">
        <f>10025</f>
        <v>10025</v>
      </c>
      <c r="D102" s="17">
        <f>2307.5</f>
        <v>2307.5</v>
      </c>
      <c r="E102" s="17">
        <f>1015</f>
        <v>1015</v>
      </c>
      <c r="F102" s="16"/>
      <c r="G102" s="17">
        <f>9150</f>
        <v>9150</v>
      </c>
      <c r="H102" s="16"/>
      <c r="I102" s="16"/>
      <c r="J102" s="17">
        <f>439.66</f>
        <v>439.66</v>
      </c>
      <c r="K102" s="16"/>
      <c r="L102" s="22">
        <v>27137.16</v>
      </c>
      <c r="M102" s="27">
        <v>53373.30000000001</v>
      </c>
      <c r="N102" s="32">
        <v>-26236.14000000001</v>
      </c>
      <c r="O102" s="37">
        <v>0.50844073722254379</v>
      </c>
      <c r="P102" s="41">
        <v>64048.000000000015</v>
      </c>
      <c r="Q102" s="45">
        <f t="shared" si="13"/>
        <v>0.4237003497376966</v>
      </c>
    </row>
    <row r="103" spans="1:17" hidden="1" x14ac:dyDescent="0.25">
      <c r="A103" s="3" t="s">
        <v>162</v>
      </c>
      <c r="B103" s="16"/>
      <c r="C103" s="16"/>
      <c r="D103" s="16"/>
      <c r="E103" s="16"/>
      <c r="F103" s="16"/>
      <c r="G103" s="16"/>
      <c r="H103" s="16"/>
      <c r="I103" s="16"/>
      <c r="J103" s="17">
        <f>28295.45</f>
        <v>28295.45</v>
      </c>
      <c r="K103" s="16"/>
      <c r="L103" s="22">
        <v>28295.45</v>
      </c>
      <c r="M103" s="27">
        <v>0</v>
      </c>
      <c r="N103" s="32">
        <v>28295.45</v>
      </c>
      <c r="O103" s="37" t="s">
        <v>287</v>
      </c>
      <c r="P103" s="41">
        <v>0</v>
      </c>
      <c r="Q103" s="45"/>
    </row>
    <row r="104" spans="1:17" hidden="1" x14ac:dyDescent="0.25">
      <c r="A104" s="3" t="s">
        <v>161</v>
      </c>
      <c r="B104" s="17">
        <f>18750</f>
        <v>18750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22">
        <v>18750</v>
      </c>
      <c r="M104" s="27">
        <v>0</v>
      </c>
      <c r="N104" s="32">
        <v>18750</v>
      </c>
      <c r="O104" s="37" t="s">
        <v>287</v>
      </c>
      <c r="P104" s="41">
        <v>0</v>
      </c>
      <c r="Q104" s="45"/>
    </row>
    <row r="105" spans="1:17" hidden="1" x14ac:dyDescent="0.25">
      <c r="A105" s="3" t="s">
        <v>160</v>
      </c>
      <c r="B105" s="17">
        <f>502.5</f>
        <v>502.5</v>
      </c>
      <c r="C105" s="17">
        <f>206</f>
        <v>206</v>
      </c>
      <c r="D105" s="17">
        <f>830</f>
        <v>830</v>
      </c>
      <c r="E105" s="17">
        <f>103</f>
        <v>103</v>
      </c>
      <c r="F105" s="17">
        <f>103</f>
        <v>103</v>
      </c>
      <c r="G105" s="16"/>
      <c r="H105" s="17">
        <f>642.23</f>
        <v>642.23</v>
      </c>
      <c r="I105" s="17">
        <f>51.5</f>
        <v>51.5</v>
      </c>
      <c r="J105" s="16"/>
      <c r="K105" s="17">
        <f>103</f>
        <v>103</v>
      </c>
      <c r="L105" s="22">
        <v>2541.23</v>
      </c>
      <c r="M105" s="27">
        <v>24668.300000000003</v>
      </c>
      <c r="N105" s="32">
        <v>-22127.070000000003</v>
      </c>
      <c r="O105" s="37">
        <v>0.10301601650701507</v>
      </c>
      <c r="P105" s="42">
        <v>29602.000000000004</v>
      </c>
      <c r="Q105" s="46">
        <f t="shared" si="13"/>
        <v>8.584656442132288E-2</v>
      </c>
    </row>
    <row r="106" spans="1:17" hidden="1" x14ac:dyDescent="0.25">
      <c r="A106" s="3" t="s">
        <v>159</v>
      </c>
      <c r="B106" s="18">
        <f t="shared" ref="B106:K106" si="15">(((B102)+(B103))+(B104))+(B105)</f>
        <v>23452.5</v>
      </c>
      <c r="C106" s="18">
        <f t="shared" si="15"/>
        <v>10231</v>
      </c>
      <c r="D106" s="18">
        <f t="shared" si="15"/>
        <v>3137.5</v>
      </c>
      <c r="E106" s="18">
        <f t="shared" si="15"/>
        <v>1118</v>
      </c>
      <c r="F106" s="18">
        <f t="shared" si="15"/>
        <v>103</v>
      </c>
      <c r="G106" s="18">
        <f t="shared" si="15"/>
        <v>9150</v>
      </c>
      <c r="H106" s="18">
        <f t="shared" si="15"/>
        <v>642.23</v>
      </c>
      <c r="I106" s="18">
        <f t="shared" si="15"/>
        <v>51.5</v>
      </c>
      <c r="J106" s="18">
        <f t="shared" si="15"/>
        <v>28735.11</v>
      </c>
      <c r="K106" s="18">
        <f t="shared" si="15"/>
        <v>103</v>
      </c>
      <c r="L106" s="23">
        <v>76723.839999999997</v>
      </c>
      <c r="M106" s="28">
        <v>78041.60000000002</v>
      </c>
      <c r="N106" s="33">
        <v>-1317.7600000000239</v>
      </c>
      <c r="O106" s="38">
        <v>0.98311464654748204</v>
      </c>
      <c r="P106" s="41">
        <v>93650.000000000029</v>
      </c>
      <c r="Q106" s="45">
        <f t="shared" si="13"/>
        <v>0.81926150560597943</v>
      </c>
    </row>
    <row r="107" spans="1:17" hidden="1" x14ac:dyDescent="0.25">
      <c r="A107" s="3" t="s">
        <v>158</v>
      </c>
      <c r="B107" s="17">
        <f>3217.02</f>
        <v>3217.02</v>
      </c>
      <c r="C107" s="17">
        <f>3282.89</f>
        <v>3282.89</v>
      </c>
      <c r="D107" s="17">
        <f>3477.08</f>
        <v>3477.08</v>
      </c>
      <c r="E107" s="17">
        <f>3659.92</f>
        <v>3659.92</v>
      </c>
      <c r="F107" s="17">
        <f>3259.87</f>
        <v>3259.87</v>
      </c>
      <c r="G107" s="17">
        <f>3315.28</f>
        <v>3315.28</v>
      </c>
      <c r="H107" s="17">
        <f>3315.28</f>
        <v>3315.28</v>
      </c>
      <c r="I107" s="17">
        <f>3048.25</f>
        <v>3048.25</v>
      </c>
      <c r="J107" s="17">
        <f>3190.28</f>
        <v>3190.28</v>
      </c>
      <c r="K107" s="16"/>
      <c r="L107" s="22">
        <v>29765.869999999995</v>
      </c>
      <c r="M107" s="27">
        <v>0</v>
      </c>
      <c r="N107" s="32">
        <v>29765.869999999995</v>
      </c>
      <c r="O107" s="37" t="s">
        <v>287</v>
      </c>
      <c r="P107" s="41">
        <v>0</v>
      </c>
      <c r="Q107" s="45"/>
    </row>
    <row r="108" spans="1:17" hidden="1" x14ac:dyDescent="0.25">
      <c r="A108" s="3" t="s">
        <v>157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7">
        <f>1541.2</f>
        <v>1541.2</v>
      </c>
      <c r="L108" s="22">
        <v>1541.2</v>
      </c>
      <c r="M108" s="27">
        <v>0</v>
      </c>
      <c r="N108" s="32">
        <v>1541.2</v>
      </c>
      <c r="O108" s="37" t="s">
        <v>287</v>
      </c>
      <c r="P108" s="41">
        <v>0</v>
      </c>
      <c r="Q108" s="45"/>
    </row>
    <row r="109" spans="1:17" hidden="1" x14ac:dyDescent="0.25">
      <c r="A109" s="3"/>
      <c r="B109" s="16"/>
      <c r="C109" s="16"/>
      <c r="D109" s="16"/>
      <c r="E109" s="16"/>
      <c r="F109" s="16"/>
      <c r="G109" s="16"/>
      <c r="H109" s="16"/>
      <c r="I109" s="16"/>
      <c r="J109" s="16"/>
      <c r="K109" s="17"/>
      <c r="L109" s="22"/>
      <c r="M109" s="27"/>
      <c r="N109" s="32"/>
      <c r="O109" s="37"/>
      <c r="P109" s="41">
        <v>0</v>
      </c>
      <c r="Q109" s="45"/>
    </row>
    <row r="110" spans="1:17" hidden="1" x14ac:dyDescent="0.25">
      <c r="A110" s="3" t="s">
        <v>155</v>
      </c>
      <c r="B110" s="16"/>
      <c r="C110" s="16"/>
      <c r="D110" s="16"/>
      <c r="E110" s="16"/>
      <c r="F110" s="16"/>
      <c r="G110" s="16"/>
      <c r="H110" s="17">
        <f>125</f>
        <v>125</v>
      </c>
      <c r="I110" s="16"/>
      <c r="J110" s="17">
        <f>125</f>
        <v>125</v>
      </c>
      <c r="K110" s="16"/>
      <c r="L110" s="22">
        <v>250</v>
      </c>
      <c r="M110" s="27">
        <v>0</v>
      </c>
      <c r="N110" s="32">
        <v>250</v>
      </c>
      <c r="O110" s="37" t="s">
        <v>287</v>
      </c>
      <c r="P110" s="41">
        <v>0</v>
      </c>
      <c r="Q110" s="45"/>
    </row>
    <row r="111" spans="1:17" hidden="1" x14ac:dyDescent="0.25">
      <c r="A111" s="3" t="s">
        <v>154</v>
      </c>
      <c r="B111" s="17">
        <f>1234.56</f>
        <v>1234.56</v>
      </c>
      <c r="C111" s="17">
        <f>468.49</f>
        <v>468.49</v>
      </c>
      <c r="D111" s="17">
        <f>1964.37</f>
        <v>1964.37</v>
      </c>
      <c r="E111" s="17">
        <f>1191.01</f>
        <v>1191.01</v>
      </c>
      <c r="F111" s="16"/>
      <c r="G111" s="17">
        <f>1659.96</f>
        <v>1659.96</v>
      </c>
      <c r="H111" s="17">
        <f>2474.44</f>
        <v>2474.44</v>
      </c>
      <c r="I111" s="17">
        <f>1576.73</f>
        <v>1576.73</v>
      </c>
      <c r="J111" s="17">
        <f>2451.51</f>
        <v>2451.5100000000002</v>
      </c>
      <c r="K111" s="17">
        <f>271.55</f>
        <v>271.55</v>
      </c>
      <c r="L111" s="22">
        <v>13292.619999999999</v>
      </c>
      <c r="M111" s="27">
        <v>0</v>
      </c>
      <c r="N111" s="32">
        <v>13292.619999999999</v>
      </c>
      <c r="O111" s="37" t="s">
        <v>287</v>
      </c>
      <c r="P111" s="41">
        <v>0</v>
      </c>
      <c r="Q111" s="45"/>
    </row>
    <row r="112" spans="1:17" hidden="1" x14ac:dyDescent="0.25">
      <c r="A112" s="3" t="s">
        <v>153</v>
      </c>
      <c r="B112" s="16"/>
      <c r="C112" s="16"/>
      <c r="D112" s="17">
        <f>97.16</f>
        <v>97.16</v>
      </c>
      <c r="E112" s="16"/>
      <c r="F112" s="16"/>
      <c r="G112" s="16"/>
      <c r="H112" s="17">
        <f>758.63</f>
        <v>758.63</v>
      </c>
      <c r="I112" s="16"/>
      <c r="J112" s="17">
        <f>943.37</f>
        <v>943.37</v>
      </c>
      <c r="K112" s="17">
        <f>496.07</f>
        <v>496.07</v>
      </c>
      <c r="L112" s="22">
        <v>2295.23</v>
      </c>
      <c r="M112" s="27">
        <v>0</v>
      </c>
      <c r="N112" s="32">
        <v>2295.23</v>
      </c>
      <c r="O112" s="37" t="s">
        <v>287</v>
      </c>
      <c r="P112" s="42">
        <v>0</v>
      </c>
      <c r="Q112" s="46"/>
    </row>
    <row r="113" spans="1:17" hidden="1" x14ac:dyDescent="0.25">
      <c r="A113" s="3" t="s">
        <v>152</v>
      </c>
      <c r="B113" s="18">
        <f t="shared" ref="B113:K113" si="16">(((B108)+(B110))+(B111))+(B112)</f>
        <v>1234.56</v>
      </c>
      <c r="C113" s="18">
        <f t="shared" si="16"/>
        <v>468.49</v>
      </c>
      <c r="D113" s="18">
        <f t="shared" si="16"/>
        <v>2061.5299999999997</v>
      </c>
      <c r="E113" s="18">
        <f t="shared" si="16"/>
        <v>1191.01</v>
      </c>
      <c r="F113" s="18">
        <f t="shared" si="16"/>
        <v>0</v>
      </c>
      <c r="G113" s="18">
        <f t="shared" si="16"/>
        <v>1659.96</v>
      </c>
      <c r="H113" s="18">
        <f t="shared" si="16"/>
        <v>3358.07</v>
      </c>
      <c r="I113" s="18">
        <f t="shared" si="16"/>
        <v>1576.73</v>
      </c>
      <c r="J113" s="18">
        <f t="shared" si="16"/>
        <v>3519.88</v>
      </c>
      <c r="K113" s="18">
        <f t="shared" si="16"/>
        <v>2308.8200000000002</v>
      </c>
      <c r="L113" s="23">
        <v>17379.05</v>
      </c>
      <c r="M113" s="28">
        <v>0</v>
      </c>
      <c r="N113" s="33">
        <v>17379.05</v>
      </c>
      <c r="O113" s="38" t="s">
        <v>287</v>
      </c>
      <c r="P113" s="41">
        <v>0</v>
      </c>
      <c r="Q113" s="45"/>
    </row>
    <row r="114" spans="1:17" hidden="1" x14ac:dyDescent="0.25">
      <c r="A114" s="3" t="s">
        <v>151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22">
        <v>0</v>
      </c>
      <c r="M114" s="27">
        <v>0</v>
      </c>
      <c r="N114" s="32">
        <v>0</v>
      </c>
      <c r="O114" s="37" t="s">
        <v>287</v>
      </c>
      <c r="P114" s="41">
        <v>0</v>
      </c>
      <c r="Q114" s="45"/>
    </row>
    <row r="115" spans="1:17" hidden="1" x14ac:dyDescent="0.25">
      <c r="A115" s="3" t="s">
        <v>150</v>
      </c>
      <c r="B115" s="16"/>
      <c r="C115" s="16"/>
      <c r="D115" s="16"/>
      <c r="E115" s="16"/>
      <c r="F115" s="16"/>
      <c r="G115" s="16"/>
      <c r="H115" s="16"/>
      <c r="I115" s="17">
        <f>143.78</f>
        <v>143.78</v>
      </c>
      <c r="J115" s="16"/>
      <c r="K115" s="16"/>
      <c r="L115" s="22">
        <v>143.78</v>
      </c>
      <c r="M115" s="27">
        <v>333.34</v>
      </c>
      <c r="N115" s="32">
        <v>-189.55999999999997</v>
      </c>
      <c r="O115" s="37">
        <v>0.43133137337253258</v>
      </c>
      <c r="P115" s="41">
        <v>499.99999999999994</v>
      </c>
      <c r="Q115" s="45">
        <f t="shared" si="13"/>
        <v>0.28756000000000004</v>
      </c>
    </row>
    <row r="116" spans="1:17" hidden="1" x14ac:dyDescent="0.25">
      <c r="A116" s="3" t="s">
        <v>149</v>
      </c>
      <c r="B116" s="16"/>
      <c r="C116" s="17">
        <f>58.36</f>
        <v>58.36</v>
      </c>
      <c r="D116" s="17">
        <f>61.83</f>
        <v>61.83</v>
      </c>
      <c r="E116" s="16"/>
      <c r="F116" s="17">
        <f>9.96</f>
        <v>9.9600000000000009</v>
      </c>
      <c r="G116" s="16"/>
      <c r="H116" s="16"/>
      <c r="I116" s="16"/>
      <c r="J116" s="16"/>
      <c r="K116" s="16"/>
      <c r="L116" s="22">
        <v>130.15</v>
      </c>
      <c r="M116" s="27">
        <v>0</v>
      </c>
      <c r="N116" s="32">
        <v>130.15</v>
      </c>
      <c r="O116" s="37" t="s">
        <v>287</v>
      </c>
      <c r="P116" s="42">
        <v>0</v>
      </c>
      <c r="Q116" s="46"/>
    </row>
    <row r="117" spans="1:17" hidden="1" x14ac:dyDescent="0.25">
      <c r="A117" s="3" t="s">
        <v>148</v>
      </c>
      <c r="B117" s="18">
        <f t="shared" ref="B117:K117" si="17">((B114)+(B115))+(B116)</f>
        <v>0</v>
      </c>
      <c r="C117" s="18">
        <f t="shared" si="17"/>
        <v>58.36</v>
      </c>
      <c r="D117" s="18">
        <f t="shared" si="17"/>
        <v>61.83</v>
      </c>
      <c r="E117" s="18">
        <f t="shared" si="17"/>
        <v>0</v>
      </c>
      <c r="F117" s="18">
        <f t="shared" si="17"/>
        <v>9.9600000000000009</v>
      </c>
      <c r="G117" s="18">
        <f t="shared" si="17"/>
        <v>0</v>
      </c>
      <c r="H117" s="18">
        <f t="shared" si="17"/>
        <v>0</v>
      </c>
      <c r="I117" s="18">
        <f t="shared" si="17"/>
        <v>143.78</v>
      </c>
      <c r="J117" s="18">
        <f t="shared" si="17"/>
        <v>0</v>
      </c>
      <c r="K117" s="18">
        <f t="shared" si="17"/>
        <v>0</v>
      </c>
      <c r="L117" s="23">
        <v>273.93</v>
      </c>
      <c r="M117" s="28">
        <v>333.34</v>
      </c>
      <c r="N117" s="33">
        <v>-59.409999999999968</v>
      </c>
      <c r="O117" s="38">
        <v>0.82177356452870953</v>
      </c>
      <c r="P117" s="41">
        <v>499.99999999999994</v>
      </c>
      <c r="Q117" s="45">
        <f t="shared" si="13"/>
        <v>0.54786000000000012</v>
      </c>
    </row>
    <row r="118" spans="1:17" hidden="1" x14ac:dyDescent="0.25">
      <c r="A118" s="3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24"/>
      <c r="M118" s="29"/>
      <c r="N118" s="34"/>
      <c r="O118" s="39"/>
      <c r="P118" s="41">
        <v>0</v>
      </c>
      <c r="Q118" s="45"/>
    </row>
    <row r="119" spans="1:17" hidden="1" x14ac:dyDescent="0.25">
      <c r="A119" s="3" t="s">
        <v>146</v>
      </c>
      <c r="B119" s="17">
        <f>0</f>
        <v>0</v>
      </c>
      <c r="C119" s="16"/>
      <c r="D119" s="17">
        <f>195.9</f>
        <v>195.9</v>
      </c>
      <c r="E119" s="17">
        <f>0</f>
        <v>0</v>
      </c>
      <c r="F119" s="16"/>
      <c r="G119" s="17">
        <f>377.78</f>
        <v>377.78</v>
      </c>
      <c r="H119" s="17">
        <f>83.95</f>
        <v>83.95</v>
      </c>
      <c r="I119" s="17">
        <f>7289.39</f>
        <v>7289.39</v>
      </c>
      <c r="J119" s="17">
        <f>1515.22</f>
        <v>1515.22</v>
      </c>
      <c r="K119" s="17">
        <f>292.36</f>
        <v>292.36</v>
      </c>
      <c r="L119" s="22">
        <v>9754.6</v>
      </c>
      <c r="M119" s="27">
        <v>0</v>
      </c>
      <c r="N119" s="32">
        <v>9754.6</v>
      </c>
      <c r="O119" s="37" t="s">
        <v>287</v>
      </c>
      <c r="P119" s="41">
        <v>0</v>
      </c>
      <c r="Q119" s="45"/>
    </row>
    <row r="120" spans="1:17" hidden="1" x14ac:dyDescent="0.25">
      <c r="A120" s="3" t="s">
        <v>145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7">
        <f>6400.33</f>
        <v>6400.33</v>
      </c>
      <c r="L120" s="22">
        <v>6400.33</v>
      </c>
      <c r="M120" s="27">
        <v>0</v>
      </c>
      <c r="N120" s="32">
        <v>6400.33</v>
      </c>
      <c r="O120" s="37" t="s">
        <v>287</v>
      </c>
      <c r="P120" s="41">
        <v>0</v>
      </c>
      <c r="Q120" s="45"/>
    </row>
    <row r="121" spans="1:17" hidden="1" x14ac:dyDescent="0.25">
      <c r="A121" s="3" t="s">
        <v>144</v>
      </c>
      <c r="B121" s="16"/>
      <c r="C121" s="17">
        <f>2069.15</f>
        <v>2069.15</v>
      </c>
      <c r="D121" s="16"/>
      <c r="E121" s="16"/>
      <c r="F121" s="16"/>
      <c r="G121" s="16"/>
      <c r="H121" s="16"/>
      <c r="I121" s="16"/>
      <c r="J121" s="17">
        <f>228</f>
        <v>228</v>
      </c>
      <c r="K121" s="16"/>
      <c r="L121" s="22">
        <v>2297.15</v>
      </c>
      <c r="M121" s="27">
        <v>0</v>
      </c>
      <c r="N121" s="32">
        <v>2297.15</v>
      </c>
      <c r="O121" s="37" t="s">
        <v>287</v>
      </c>
      <c r="P121" s="41">
        <v>0</v>
      </c>
      <c r="Q121" s="45"/>
    </row>
    <row r="122" spans="1:17" hidden="1" x14ac:dyDescent="0.25">
      <c r="A122" s="3" t="s">
        <v>143</v>
      </c>
      <c r="B122" s="16"/>
      <c r="C122" s="17">
        <f>662.9</f>
        <v>662.9</v>
      </c>
      <c r="D122" s="16"/>
      <c r="E122" s="16"/>
      <c r="F122" s="16"/>
      <c r="G122" s="16"/>
      <c r="H122" s="16"/>
      <c r="I122" s="17">
        <f>142.03</f>
        <v>142.03</v>
      </c>
      <c r="J122" s="16"/>
      <c r="K122" s="16"/>
      <c r="L122" s="22">
        <v>804.93</v>
      </c>
      <c r="M122" s="27">
        <v>0</v>
      </c>
      <c r="N122" s="32">
        <v>804.93</v>
      </c>
      <c r="O122" s="37" t="s">
        <v>287</v>
      </c>
      <c r="P122" s="41">
        <v>0</v>
      </c>
      <c r="Q122" s="45"/>
    </row>
    <row r="123" spans="1:17" hidden="1" x14ac:dyDescent="0.25">
      <c r="A123" s="3" t="s">
        <v>142</v>
      </c>
      <c r="B123" s="17">
        <f>614.98</f>
        <v>614.98</v>
      </c>
      <c r="C123" s="17">
        <f>506.74</f>
        <v>506.74</v>
      </c>
      <c r="D123" s="17">
        <f>64.03</f>
        <v>64.03</v>
      </c>
      <c r="E123" s="16"/>
      <c r="F123" s="17">
        <f>669.71</f>
        <v>669.71</v>
      </c>
      <c r="G123" s="17">
        <f>139.55</f>
        <v>139.55000000000001</v>
      </c>
      <c r="H123" s="16"/>
      <c r="I123" s="17">
        <f>16.25</f>
        <v>16.25</v>
      </c>
      <c r="J123" s="17">
        <f>1249.56</f>
        <v>1249.56</v>
      </c>
      <c r="K123" s="17">
        <f>302.21</f>
        <v>302.20999999999998</v>
      </c>
      <c r="L123" s="22">
        <v>3563.0299999999997</v>
      </c>
      <c r="M123" s="27">
        <v>0</v>
      </c>
      <c r="N123" s="32">
        <v>3563.0299999999997</v>
      </c>
      <c r="O123" s="37" t="s">
        <v>287</v>
      </c>
      <c r="P123" s="41">
        <v>0</v>
      </c>
      <c r="Q123" s="45"/>
    </row>
    <row r="124" spans="1:17" hidden="1" x14ac:dyDescent="0.25">
      <c r="A124" s="3" t="s">
        <v>141</v>
      </c>
      <c r="B124" s="17">
        <f>1705.49</f>
        <v>1705.49</v>
      </c>
      <c r="C124" s="16"/>
      <c r="D124" s="17">
        <f>1797.73</f>
        <v>1797.73</v>
      </c>
      <c r="E124" s="17">
        <f>1566.78</f>
        <v>1566.78</v>
      </c>
      <c r="F124" s="17">
        <f>1792.63</f>
        <v>1792.63</v>
      </c>
      <c r="G124" s="17">
        <f>1789.53</f>
        <v>1789.53</v>
      </c>
      <c r="H124" s="17">
        <f>1733.88</f>
        <v>1733.88</v>
      </c>
      <c r="I124" s="16"/>
      <c r="J124" s="17">
        <f>1752.33</f>
        <v>1752.33</v>
      </c>
      <c r="K124" s="17">
        <f>2037.88</f>
        <v>2037.88</v>
      </c>
      <c r="L124" s="22">
        <v>14176.25</v>
      </c>
      <c r="M124" s="27">
        <v>0</v>
      </c>
      <c r="N124" s="32">
        <v>14176.25</v>
      </c>
      <c r="O124" s="37" t="s">
        <v>287</v>
      </c>
      <c r="P124" s="41">
        <v>0</v>
      </c>
      <c r="Q124" s="45"/>
    </row>
    <row r="125" spans="1:17" hidden="1" x14ac:dyDescent="0.25">
      <c r="A125" s="3" t="s">
        <v>140</v>
      </c>
      <c r="B125" s="17">
        <f>-16.4</f>
        <v>-16.399999999999999</v>
      </c>
      <c r="C125" s="17">
        <f>-16.27</f>
        <v>-16.27</v>
      </c>
      <c r="D125" s="17">
        <f>179.36</f>
        <v>179.36</v>
      </c>
      <c r="E125" s="17">
        <f>16.86</f>
        <v>16.86</v>
      </c>
      <c r="F125" s="17">
        <f>0.36</f>
        <v>0.36</v>
      </c>
      <c r="G125" s="17">
        <f>0.36</f>
        <v>0.36</v>
      </c>
      <c r="H125" s="17">
        <f>16.86</f>
        <v>16.86</v>
      </c>
      <c r="I125" s="17">
        <f>-313.14</f>
        <v>-313.14</v>
      </c>
      <c r="J125" s="17">
        <f>0</f>
        <v>0</v>
      </c>
      <c r="K125" s="17">
        <f>4899.5</f>
        <v>4899.5</v>
      </c>
      <c r="L125" s="22">
        <v>4767.49</v>
      </c>
      <c r="M125" s="27">
        <v>0</v>
      </c>
      <c r="N125" s="32">
        <v>4767.49</v>
      </c>
      <c r="O125" s="37" t="s">
        <v>287</v>
      </c>
      <c r="P125" s="41">
        <v>0</v>
      </c>
      <c r="Q125" s="45"/>
    </row>
    <row r="126" spans="1:17" hidden="1" x14ac:dyDescent="0.25">
      <c r="A126" s="3" t="s">
        <v>139</v>
      </c>
      <c r="B126" s="16"/>
      <c r="C126" s="16"/>
      <c r="D126" s="16"/>
      <c r="E126" s="16"/>
      <c r="F126" s="16"/>
      <c r="G126" s="16"/>
      <c r="H126" s="16"/>
      <c r="I126" s="17">
        <f>800</f>
        <v>800</v>
      </c>
      <c r="J126" s="16"/>
      <c r="K126" s="16"/>
      <c r="L126" s="22">
        <v>800</v>
      </c>
      <c r="M126" s="27">
        <v>0</v>
      </c>
      <c r="N126" s="32">
        <v>800</v>
      </c>
      <c r="O126" s="37" t="s">
        <v>287</v>
      </c>
      <c r="P126" s="41">
        <v>0</v>
      </c>
      <c r="Q126" s="45"/>
    </row>
    <row r="127" spans="1:17" hidden="1" x14ac:dyDescent="0.25">
      <c r="A127" s="3" t="s">
        <v>138</v>
      </c>
      <c r="B127" s="17">
        <f>244.45</f>
        <v>244.45</v>
      </c>
      <c r="C127" s="17">
        <f>1927.47</f>
        <v>1927.47</v>
      </c>
      <c r="D127" s="17">
        <f>5.2</f>
        <v>5.2</v>
      </c>
      <c r="E127" s="17">
        <f>0.5</f>
        <v>0.5</v>
      </c>
      <c r="F127" s="17">
        <f>72.7</f>
        <v>72.7</v>
      </c>
      <c r="G127" s="16"/>
      <c r="H127" s="17">
        <f>1.98</f>
        <v>1.98</v>
      </c>
      <c r="I127" s="16"/>
      <c r="J127" s="16"/>
      <c r="K127" s="16"/>
      <c r="L127" s="22">
        <v>2252.2999999999997</v>
      </c>
      <c r="M127" s="27">
        <v>350</v>
      </c>
      <c r="N127" s="32">
        <v>1902.2999999999997</v>
      </c>
      <c r="O127" s="37">
        <v>6.4351428571428562</v>
      </c>
      <c r="P127" s="41">
        <v>420</v>
      </c>
      <c r="Q127" s="45">
        <f t="shared" si="13"/>
        <v>5.362619047619047</v>
      </c>
    </row>
    <row r="128" spans="1:17" hidden="1" x14ac:dyDescent="0.25">
      <c r="A128" s="3" t="s">
        <v>137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22">
        <v>0</v>
      </c>
      <c r="M128" s="27">
        <v>9650</v>
      </c>
      <c r="N128" s="32">
        <v>-9650</v>
      </c>
      <c r="O128" s="37">
        <v>0</v>
      </c>
      <c r="P128" s="41">
        <v>11580</v>
      </c>
      <c r="Q128" s="45">
        <f t="shared" si="13"/>
        <v>0</v>
      </c>
    </row>
    <row r="129" spans="1:17" hidden="1" x14ac:dyDescent="0.25">
      <c r="A129" s="3" t="s">
        <v>136</v>
      </c>
      <c r="B129" s="18">
        <f t="shared" ref="B129:K129" si="18">(((((B123)+(B124))+(B125))+(B126))+(B127))+(B128)</f>
        <v>2548.52</v>
      </c>
      <c r="C129" s="18">
        <f t="shared" si="18"/>
        <v>2417.94</v>
      </c>
      <c r="D129" s="18">
        <f t="shared" si="18"/>
        <v>2046.32</v>
      </c>
      <c r="E129" s="18">
        <f t="shared" si="18"/>
        <v>1584.1399999999999</v>
      </c>
      <c r="F129" s="18">
        <f t="shared" si="18"/>
        <v>2535.4</v>
      </c>
      <c r="G129" s="18">
        <f t="shared" si="18"/>
        <v>1929.4399999999998</v>
      </c>
      <c r="H129" s="18">
        <f t="shared" si="18"/>
        <v>1752.72</v>
      </c>
      <c r="I129" s="18">
        <f t="shared" si="18"/>
        <v>503.11</v>
      </c>
      <c r="J129" s="18">
        <f t="shared" si="18"/>
        <v>3001.89</v>
      </c>
      <c r="K129" s="18">
        <f t="shared" si="18"/>
        <v>7239.59</v>
      </c>
      <c r="L129" s="23">
        <v>25559.07</v>
      </c>
      <c r="M129" s="28">
        <v>10000</v>
      </c>
      <c r="N129" s="33">
        <v>15559.07</v>
      </c>
      <c r="O129" s="38">
        <v>2.5559069999999999</v>
      </c>
      <c r="P129" s="42">
        <v>12000</v>
      </c>
      <c r="Q129" s="46">
        <f t="shared" si="13"/>
        <v>2.1299225000000002</v>
      </c>
    </row>
    <row r="130" spans="1:17" x14ac:dyDescent="0.25">
      <c r="A130" s="3" t="s">
        <v>135</v>
      </c>
      <c r="B130" s="18">
        <f t="shared" ref="B130:K130" si="19">(((((((((((((((((((B91)+(B92))+(B93))+(B94))+(B95))+(B96))+(B97))+(B98))+(B99))+(B100))+(B101))+(B106))+(B107))+(B113))+(B117))+(B119))+(B120))+(B121))+(B122))+(B129)</f>
        <v>64493.819999999992</v>
      </c>
      <c r="C130" s="18">
        <f t="shared" si="19"/>
        <v>51306.810000000005</v>
      </c>
      <c r="D130" s="18">
        <f t="shared" si="19"/>
        <v>47761.750000000007</v>
      </c>
      <c r="E130" s="18">
        <f t="shared" si="19"/>
        <v>35440.129999999997</v>
      </c>
      <c r="F130" s="18">
        <f t="shared" si="19"/>
        <v>31654.03</v>
      </c>
      <c r="G130" s="18">
        <f t="shared" si="19"/>
        <v>44956.409999999996</v>
      </c>
      <c r="H130" s="18">
        <f t="shared" si="19"/>
        <v>48779.12</v>
      </c>
      <c r="I130" s="18">
        <f t="shared" si="19"/>
        <v>51135.640000000007</v>
      </c>
      <c r="J130" s="18">
        <f t="shared" si="19"/>
        <v>92893.05</v>
      </c>
      <c r="K130" s="18">
        <f t="shared" si="19"/>
        <v>55200.479999999996</v>
      </c>
      <c r="L130" s="23">
        <v>523621.24</v>
      </c>
      <c r="M130" s="28">
        <v>500834.24</v>
      </c>
      <c r="N130" s="33">
        <v>22787</v>
      </c>
      <c r="O130" s="38">
        <v>1.0454980873512163</v>
      </c>
      <c r="P130" s="41">
        <v>607484</v>
      </c>
      <c r="Q130" s="45">
        <f t="shared" si="13"/>
        <v>0.86195066865958603</v>
      </c>
    </row>
    <row r="131" spans="1:17" hidden="1" x14ac:dyDescent="0.25">
      <c r="A131" s="3" t="s">
        <v>134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22">
        <v>0</v>
      </c>
      <c r="M131" s="27">
        <v>0</v>
      </c>
      <c r="N131" s="32">
        <v>0</v>
      </c>
      <c r="O131" s="37" t="s">
        <v>287</v>
      </c>
      <c r="P131" s="41">
        <v>0</v>
      </c>
      <c r="Q131" s="45"/>
    </row>
    <row r="132" spans="1:17" hidden="1" x14ac:dyDescent="0.25">
      <c r="A132" s="3" t="s">
        <v>133</v>
      </c>
      <c r="B132" s="17">
        <f>5702.34</f>
        <v>5702.34</v>
      </c>
      <c r="C132" s="17">
        <f>11404.68</f>
        <v>11404.68</v>
      </c>
      <c r="D132" s="17">
        <f>11404.68</f>
        <v>11404.68</v>
      </c>
      <c r="E132" s="17">
        <f>11404.68</f>
        <v>11404.68</v>
      </c>
      <c r="F132" s="17">
        <f>11404.68</f>
        <v>11404.68</v>
      </c>
      <c r="G132" s="17">
        <f>11904.68</f>
        <v>11904.68</v>
      </c>
      <c r="H132" s="17">
        <f>12663.84</f>
        <v>12663.84</v>
      </c>
      <c r="I132" s="17">
        <f>11893.56</f>
        <v>11893.56</v>
      </c>
      <c r="J132" s="17">
        <f>12908.27</f>
        <v>12908.27</v>
      </c>
      <c r="K132" s="17">
        <f>11893.56</f>
        <v>11893.56</v>
      </c>
      <c r="L132" s="22">
        <v>112584.97</v>
      </c>
      <c r="M132" s="27">
        <v>148213.29999999999</v>
      </c>
      <c r="N132" s="32">
        <v>-35628.329999999987</v>
      </c>
      <c r="O132" s="37">
        <v>0.75961448803852294</v>
      </c>
      <c r="P132" s="41">
        <v>177855.99999999997</v>
      </c>
      <c r="Q132" s="45">
        <f t="shared" si="13"/>
        <v>0.63301193100035991</v>
      </c>
    </row>
    <row r="133" spans="1:17" hidden="1" x14ac:dyDescent="0.25">
      <c r="A133" s="3" t="s">
        <v>132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7">
        <f>-713.6</f>
        <v>-713.6</v>
      </c>
      <c r="L133" s="22">
        <v>-713.6</v>
      </c>
      <c r="M133" s="27">
        <v>0</v>
      </c>
      <c r="N133" s="32">
        <v>-713.6</v>
      </c>
      <c r="O133" s="37" t="s">
        <v>287</v>
      </c>
      <c r="P133" s="41">
        <v>0</v>
      </c>
      <c r="Q133" s="45"/>
    </row>
    <row r="134" spans="1:17" hidden="1" x14ac:dyDescent="0.25">
      <c r="A134" s="3" t="s">
        <v>131</v>
      </c>
      <c r="B134" s="16"/>
      <c r="C134" s="16"/>
      <c r="D134" s="17">
        <f>1700</f>
        <v>1700</v>
      </c>
      <c r="E134" s="17">
        <f>5000</f>
        <v>5000</v>
      </c>
      <c r="F134" s="16"/>
      <c r="G134" s="17">
        <f>3187.5</f>
        <v>3187.5</v>
      </c>
      <c r="H134" s="17">
        <f>1829.38</f>
        <v>1829.38</v>
      </c>
      <c r="I134" s="16"/>
      <c r="J134" s="16"/>
      <c r="K134" s="17">
        <f>180</f>
        <v>180</v>
      </c>
      <c r="L134" s="22">
        <v>11896.880000000001</v>
      </c>
      <c r="M134" s="27">
        <v>1668</v>
      </c>
      <c r="N134" s="32">
        <v>10228.880000000001</v>
      </c>
      <c r="O134" s="37">
        <v>7.1324220623501207</v>
      </c>
      <c r="P134" s="41">
        <v>2780</v>
      </c>
      <c r="Q134" s="45">
        <f t="shared" si="13"/>
        <v>4.2794532374100722</v>
      </c>
    </row>
    <row r="135" spans="1:17" hidden="1" x14ac:dyDescent="0.25">
      <c r="A135" s="3" t="s">
        <v>130</v>
      </c>
      <c r="B135" s="16"/>
      <c r="C135" s="17">
        <f>132.5</f>
        <v>132.5</v>
      </c>
      <c r="D135" s="17">
        <f>106</f>
        <v>106</v>
      </c>
      <c r="E135" s="16"/>
      <c r="F135" s="17">
        <f>995</f>
        <v>995</v>
      </c>
      <c r="G135" s="17">
        <f>1148</f>
        <v>1148</v>
      </c>
      <c r="H135" s="16"/>
      <c r="I135" s="17">
        <f>424</f>
        <v>424</v>
      </c>
      <c r="J135" s="17">
        <f>522.5</f>
        <v>522.5</v>
      </c>
      <c r="K135" s="17">
        <f>1127.5</f>
        <v>1127.5</v>
      </c>
      <c r="L135" s="22">
        <v>4455.5</v>
      </c>
      <c r="M135" s="27">
        <v>20833.300000000003</v>
      </c>
      <c r="N135" s="32">
        <v>-16377.800000000003</v>
      </c>
      <c r="O135" s="37">
        <v>0.21386434218294748</v>
      </c>
      <c r="P135" s="41">
        <v>25000.000000000004</v>
      </c>
      <c r="Q135" s="45">
        <f t="shared" si="13"/>
        <v>0.17821999999999996</v>
      </c>
    </row>
    <row r="136" spans="1:17" hidden="1" x14ac:dyDescent="0.25">
      <c r="A136" s="3" t="s">
        <v>129</v>
      </c>
      <c r="B136" s="16"/>
      <c r="C136" s="16"/>
      <c r="D136" s="16"/>
      <c r="E136" s="16"/>
      <c r="F136" s="16"/>
      <c r="G136" s="16"/>
      <c r="H136" s="16"/>
      <c r="I136" s="17">
        <f>2327.74</f>
        <v>2327.7399999999998</v>
      </c>
      <c r="J136" s="16"/>
      <c r="K136" s="16"/>
      <c r="L136" s="22">
        <v>2327.7399999999998</v>
      </c>
      <c r="M136" s="27">
        <v>0</v>
      </c>
      <c r="N136" s="32">
        <v>2327.7399999999998</v>
      </c>
      <c r="O136" s="37" t="s">
        <v>287</v>
      </c>
      <c r="P136" s="41">
        <v>0</v>
      </c>
      <c r="Q136" s="45"/>
    </row>
    <row r="137" spans="1:17" hidden="1" x14ac:dyDescent="0.25">
      <c r="A137" s="3" t="s">
        <v>128</v>
      </c>
      <c r="B137" s="16"/>
      <c r="C137" s="16"/>
      <c r="D137" s="16"/>
      <c r="E137" s="17">
        <f>12500</f>
        <v>12500</v>
      </c>
      <c r="F137" s="16"/>
      <c r="G137" s="16"/>
      <c r="H137" s="16"/>
      <c r="I137" s="16"/>
      <c r="J137" s="16"/>
      <c r="K137" s="16"/>
      <c r="L137" s="22">
        <v>12500</v>
      </c>
      <c r="M137" s="27">
        <v>10416.6</v>
      </c>
      <c r="N137" s="32">
        <v>2083.3999999999996</v>
      </c>
      <c r="O137" s="37">
        <v>1.2000076800491524</v>
      </c>
      <c r="P137" s="41">
        <v>20500.000000000004</v>
      </c>
      <c r="Q137" s="45">
        <f t="shared" si="13"/>
        <v>0.60975609756097549</v>
      </c>
    </row>
    <row r="138" spans="1:17" hidden="1" x14ac:dyDescent="0.25">
      <c r="A138" s="3" t="s">
        <v>127</v>
      </c>
      <c r="B138" s="16"/>
      <c r="C138" s="16"/>
      <c r="D138" s="16"/>
      <c r="E138" s="16"/>
      <c r="F138" s="17">
        <f>172.5</f>
        <v>172.5</v>
      </c>
      <c r="G138" s="16"/>
      <c r="H138" s="16"/>
      <c r="I138" s="17">
        <f>3160.94</f>
        <v>3160.94</v>
      </c>
      <c r="J138" s="17">
        <f>5843.75</f>
        <v>5843.75</v>
      </c>
      <c r="K138" s="16"/>
      <c r="L138" s="22">
        <v>9177.19</v>
      </c>
      <c r="M138" s="27">
        <v>3360</v>
      </c>
      <c r="N138" s="32">
        <v>5817.1900000000005</v>
      </c>
      <c r="O138" s="37">
        <v>2.7313065476190479</v>
      </c>
      <c r="P138" s="41">
        <v>3360</v>
      </c>
      <c r="Q138" s="45">
        <f t="shared" si="13"/>
        <v>2.7313065476190479</v>
      </c>
    </row>
    <row r="139" spans="1:17" hidden="1" x14ac:dyDescent="0.25">
      <c r="A139" s="3" t="s">
        <v>126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22">
        <v>0</v>
      </c>
      <c r="M139" s="27">
        <v>900</v>
      </c>
      <c r="N139" s="32">
        <v>-900</v>
      </c>
      <c r="O139" s="37">
        <v>0</v>
      </c>
      <c r="P139" s="42">
        <v>1080</v>
      </c>
      <c r="Q139" s="46">
        <f t="shared" si="13"/>
        <v>0</v>
      </c>
    </row>
    <row r="140" spans="1:17" hidden="1" x14ac:dyDescent="0.25">
      <c r="A140" s="3" t="s">
        <v>125</v>
      </c>
      <c r="B140" s="18">
        <f t="shared" ref="B140:K140" si="20">(((((B134)+(B135))+(B136))+(B137))+(B138))+(B139)</f>
        <v>0</v>
      </c>
      <c r="C140" s="18">
        <f t="shared" si="20"/>
        <v>132.5</v>
      </c>
      <c r="D140" s="18">
        <f t="shared" si="20"/>
        <v>1806</v>
      </c>
      <c r="E140" s="18">
        <f t="shared" si="20"/>
        <v>17500</v>
      </c>
      <c r="F140" s="18">
        <f t="shared" si="20"/>
        <v>1167.5</v>
      </c>
      <c r="G140" s="18">
        <f t="shared" si="20"/>
        <v>4335.5</v>
      </c>
      <c r="H140" s="18">
        <f t="shared" si="20"/>
        <v>1829.38</v>
      </c>
      <c r="I140" s="18">
        <f t="shared" si="20"/>
        <v>5912.68</v>
      </c>
      <c r="J140" s="18">
        <f t="shared" si="20"/>
        <v>6366.25</v>
      </c>
      <c r="K140" s="18">
        <f t="shared" si="20"/>
        <v>1307.5</v>
      </c>
      <c r="L140" s="23">
        <v>40357.31</v>
      </c>
      <c r="M140" s="28">
        <v>37177.899999999994</v>
      </c>
      <c r="N140" s="33">
        <v>3179.4100000000035</v>
      </c>
      <c r="O140" s="38">
        <v>1.0855188162860194</v>
      </c>
      <c r="P140" s="41">
        <v>52719.999999999993</v>
      </c>
      <c r="Q140" s="45">
        <f t="shared" si="13"/>
        <v>0.76550284522003043</v>
      </c>
    </row>
    <row r="141" spans="1:17" hidden="1" x14ac:dyDescent="0.25">
      <c r="A141" s="3" t="s">
        <v>124</v>
      </c>
      <c r="B141" s="16"/>
      <c r="C141" s="16"/>
      <c r="D141" s="17">
        <f>107.42</f>
        <v>107.42</v>
      </c>
      <c r="E141" s="17">
        <f>189.39</f>
        <v>189.39</v>
      </c>
      <c r="F141" s="16"/>
      <c r="G141" s="16"/>
      <c r="H141" s="17">
        <f>665.85</f>
        <v>665.85</v>
      </c>
      <c r="I141" s="17">
        <f>791.36</f>
        <v>791.36</v>
      </c>
      <c r="J141" s="17">
        <f>165</f>
        <v>165</v>
      </c>
      <c r="K141" s="17">
        <f>204.87</f>
        <v>204.87</v>
      </c>
      <c r="L141" s="22">
        <v>2123.89</v>
      </c>
      <c r="M141" s="27">
        <v>0</v>
      </c>
      <c r="N141" s="32">
        <v>2123.89</v>
      </c>
      <c r="O141" s="37" t="s">
        <v>287</v>
      </c>
      <c r="P141" s="41">
        <v>0</v>
      </c>
      <c r="Q141" s="45"/>
    </row>
    <row r="142" spans="1:17" hidden="1" x14ac:dyDescent="0.25">
      <c r="A142" s="3"/>
      <c r="B142" s="16"/>
      <c r="C142" s="16"/>
      <c r="D142" s="17"/>
      <c r="E142" s="17"/>
      <c r="F142" s="16"/>
      <c r="G142" s="16"/>
      <c r="H142" s="17"/>
      <c r="I142" s="17"/>
      <c r="J142" s="17"/>
      <c r="K142" s="17"/>
      <c r="L142" s="22"/>
      <c r="M142" s="27"/>
      <c r="N142" s="32"/>
      <c r="O142" s="37"/>
      <c r="P142" s="41">
        <v>0</v>
      </c>
      <c r="Q142" s="45"/>
    </row>
    <row r="143" spans="1:17" hidden="1" x14ac:dyDescent="0.25">
      <c r="A143" s="3" t="s">
        <v>122</v>
      </c>
      <c r="B143" s="16"/>
      <c r="C143" s="16"/>
      <c r="D143" s="16"/>
      <c r="E143" s="16"/>
      <c r="F143" s="16"/>
      <c r="G143" s="16"/>
      <c r="H143" s="16"/>
      <c r="I143" s="17">
        <f>92.86</f>
        <v>92.86</v>
      </c>
      <c r="J143" s="16"/>
      <c r="K143" s="16"/>
      <c r="L143" s="22">
        <v>92.86</v>
      </c>
      <c r="M143" s="27">
        <v>0</v>
      </c>
      <c r="N143" s="32">
        <v>92.86</v>
      </c>
      <c r="O143" s="37" t="s">
        <v>287</v>
      </c>
      <c r="P143" s="41">
        <v>0</v>
      </c>
      <c r="Q143" s="45"/>
    </row>
    <row r="144" spans="1:17" hidden="1" x14ac:dyDescent="0.25">
      <c r="A144" s="3" t="s">
        <v>121</v>
      </c>
      <c r="B144" s="16"/>
      <c r="C144" s="16"/>
      <c r="D144" s="16"/>
      <c r="E144" s="16"/>
      <c r="F144" s="16"/>
      <c r="G144" s="16"/>
      <c r="H144" s="16"/>
      <c r="I144" s="16"/>
      <c r="J144" s="17">
        <f>160</f>
        <v>160</v>
      </c>
      <c r="K144" s="16"/>
      <c r="L144" s="22">
        <v>160</v>
      </c>
      <c r="M144" s="27">
        <v>0</v>
      </c>
      <c r="N144" s="32">
        <v>160</v>
      </c>
      <c r="O144" s="37" t="s">
        <v>287</v>
      </c>
      <c r="P144" s="42">
        <v>0</v>
      </c>
      <c r="Q144" s="46"/>
    </row>
    <row r="145" spans="1:17" x14ac:dyDescent="0.25">
      <c r="A145" s="3" t="s">
        <v>120</v>
      </c>
      <c r="B145" s="18">
        <f t="shared" ref="B145:K145" si="21">((((((B131)+(B132))+(B133))+(B140))+(B141))+(B143))+(B144)</f>
        <v>5702.34</v>
      </c>
      <c r="C145" s="18">
        <f t="shared" si="21"/>
        <v>11537.18</v>
      </c>
      <c r="D145" s="18">
        <f t="shared" si="21"/>
        <v>13318.1</v>
      </c>
      <c r="E145" s="18">
        <f t="shared" si="21"/>
        <v>29094.07</v>
      </c>
      <c r="F145" s="18">
        <f t="shared" si="21"/>
        <v>12572.18</v>
      </c>
      <c r="G145" s="18">
        <f t="shared" si="21"/>
        <v>16240.18</v>
      </c>
      <c r="H145" s="18">
        <f t="shared" si="21"/>
        <v>15159.070000000002</v>
      </c>
      <c r="I145" s="18">
        <f t="shared" si="21"/>
        <v>18690.46</v>
      </c>
      <c r="J145" s="18">
        <f t="shared" si="21"/>
        <v>19599.52</v>
      </c>
      <c r="K145" s="18">
        <f t="shared" si="21"/>
        <v>12692.33</v>
      </c>
      <c r="L145" s="23">
        <v>154605.42999999996</v>
      </c>
      <c r="M145" s="28">
        <v>185391.20000000004</v>
      </c>
      <c r="N145" s="33">
        <v>-30785.770000000077</v>
      </c>
      <c r="O145" s="38">
        <v>0.83394157867255803</v>
      </c>
      <c r="P145" s="41">
        <v>230576.00000000006</v>
      </c>
      <c r="Q145" s="45">
        <f t="shared" ref="Q145:Q196" si="22">L145/P145</f>
        <v>0.67051831066546352</v>
      </c>
    </row>
    <row r="146" spans="1:17" hidden="1" x14ac:dyDescent="0.25">
      <c r="A146" s="3" t="s">
        <v>119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22">
        <v>0</v>
      </c>
      <c r="M146" s="27">
        <v>0</v>
      </c>
      <c r="N146" s="32">
        <v>0</v>
      </c>
      <c r="O146" s="37" t="s">
        <v>287</v>
      </c>
      <c r="P146" s="41">
        <v>0</v>
      </c>
      <c r="Q146" s="45"/>
    </row>
    <row r="147" spans="1:17" hidden="1" x14ac:dyDescent="0.25">
      <c r="A147" s="3" t="s">
        <v>118</v>
      </c>
      <c r="B147" s="17">
        <f>369</f>
        <v>369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22">
        <v>369</v>
      </c>
      <c r="M147" s="27">
        <v>0</v>
      </c>
      <c r="N147" s="32">
        <v>369</v>
      </c>
      <c r="O147" s="37" t="s">
        <v>287</v>
      </c>
      <c r="P147" s="41">
        <v>0</v>
      </c>
      <c r="Q147" s="45"/>
    </row>
    <row r="148" spans="1:17" hidden="1" x14ac:dyDescent="0.25">
      <c r="A148" s="3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22"/>
      <c r="M148" s="27"/>
      <c r="N148" s="32"/>
      <c r="O148" s="37"/>
      <c r="P148" s="41">
        <v>0</v>
      </c>
      <c r="Q148" s="45"/>
    </row>
    <row r="149" spans="1:17" hidden="1" x14ac:dyDescent="0.25">
      <c r="A149" s="3" t="s">
        <v>116</v>
      </c>
      <c r="B149" s="16"/>
      <c r="C149" s="16"/>
      <c r="D149" s="16"/>
      <c r="E149" s="16"/>
      <c r="F149" s="16"/>
      <c r="G149" s="16"/>
      <c r="H149" s="16"/>
      <c r="I149" s="16"/>
      <c r="J149" s="17">
        <f>1303.16</f>
        <v>1303.1600000000001</v>
      </c>
      <c r="K149" s="16"/>
      <c r="L149" s="22">
        <v>1303.1600000000001</v>
      </c>
      <c r="M149" s="27">
        <v>0</v>
      </c>
      <c r="N149" s="32">
        <v>1303.1600000000001</v>
      </c>
      <c r="O149" s="37" t="s">
        <v>287</v>
      </c>
      <c r="P149" s="41">
        <v>0</v>
      </c>
      <c r="Q149" s="45"/>
    </row>
    <row r="150" spans="1:17" hidden="1" x14ac:dyDescent="0.25">
      <c r="A150" s="3" t="s">
        <v>115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7">
        <f>-225.58</f>
        <v>-225.58</v>
      </c>
      <c r="L150" s="22">
        <v>-225.58</v>
      </c>
      <c r="M150" s="27">
        <v>0</v>
      </c>
      <c r="N150" s="32">
        <v>-225.58</v>
      </c>
      <c r="O150" s="37" t="s">
        <v>287</v>
      </c>
      <c r="P150" s="41">
        <v>0</v>
      </c>
      <c r="Q150" s="45"/>
    </row>
    <row r="151" spans="1:17" hidden="1" x14ac:dyDescent="0.25">
      <c r="A151" s="3" t="s">
        <v>114</v>
      </c>
      <c r="B151" s="17">
        <f>3591.44</f>
        <v>3591.44</v>
      </c>
      <c r="C151" s="17">
        <f>2710.98</f>
        <v>2710.98</v>
      </c>
      <c r="D151" s="17">
        <f>1219.47</f>
        <v>1219.47</v>
      </c>
      <c r="E151" s="16"/>
      <c r="F151" s="16"/>
      <c r="G151" s="17">
        <f>190</f>
        <v>190</v>
      </c>
      <c r="H151" s="16"/>
      <c r="I151" s="17">
        <f>2107.78</f>
        <v>2107.7800000000002</v>
      </c>
      <c r="J151" s="17">
        <f>2330</f>
        <v>2330</v>
      </c>
      <c r="K151" s="17">
        <f>400</f>
        <v>400</v>
      </c>
      <c r="L151" s="22">
        <v>12549.67</v>
      </c>
      <c r="M151" s="27">
        <v>97150</v>
      </c>
      <c r="N151" s="32">
        <v>-84600.33</v>
      </c>
      <c r="O151" s="37">
        <v>0.12917828100874937</v>
      </c>
      <c r="P151" s="41">
        <v>116580</v>
      </c>
      <c r="Q151" s="45">
        <f t="shared" si="22"/>
        <v>0.10764856750729113</v>
      </c>
    </row>
    <row r="152" spans="1:17" hidden="1" x14ac:dyDescent="0.25">
      <c r="A152" s="3" t="s">
        <v>113</v>
      </c>
      <c r="B152" s="17">
        <f>5250</f>
        <v>5250</v>
      </c>
      <c r="C152" s="17">
        <f>7320</f>
        <v>7320</v>
      </c>
      <c r="D152" s="16"/>
      <c r="E152" s="17">
        <f>32016</f>
        <v>32016</v>
      </c>
      <c r="F152" s="17">
        <f>450</f>
        <v>450</v>
      </c>
      <c r="G152" s="16"/>
      <c r="H152" s="17">
        <f>14716</f>
        <v>14716</v>
      </c>
      <c r="I152" s="16"/>
      <c r="J152" s="17">
        <f>7890</f>
        <v>7890</v>
      </c>
      <c r="K152" s="16"/>
      <c r="L152" s="22">
        <v>67642</v>
      </c>
      <c r="M152" s="27">
        <v>19845</v>
      </c>
      <c r="N152" s="32">
        <v>47797</v>
      </c>
      <c r="O152" s="37">
        <v>3.4085159989921894</v>
      </c>
      <c r="P152" s="41">
        <v>33075</v>
      </c>
      <c r="Q152" s="45">
        <f t="shared" si="22"/>
        <v>2.0451095993953139</v>
      </c>
    </row>
    <row r="153" spans="1:17" hidden="1" x14ac:dyDescent="0.25">
      <c r="A153" s="3" t="s">
        <v>112</v>
      </c>
      <c r="B153" s="17">
        <f>2450</f>
        <v>2450</v>
      </c>
      <c r="C153" s="17">
        <f>650</f>
        <v>650</v>
      </c>
      <c r="D153" s="17">
        <f>1150</f>
        <v>1150</v>
      </c>
      <c r="E153" s="17">
        <f>650</f>
        <v>650</v>
      </c>
      <c r="F153" s="17">
        <f>650</f>
        <v>650</v>
      </c>
      <c r="G153" s="17">
        <f>650</f>
        <v>650</v>
      </c>
      <c r="H153" s="17">
        <f>650</f>
        <v>650</v>
      </c>
      <c r="I153" s="17">
        <f>650</f>
        <v>650</v>
      </c>
      <c r="J153" s="17">
        <f>1950</f>
        <v>1950</v>
      </c>
      <c r="K153" s="17">
        <f>650</f>
        <v>650</v>
      </c>
      <c r="L153" s="22">
        <v>10100</v>
      </c>
      <c r="M153" s="27">
        <v>16666.600000000002</v>
      </c>
      <c r="N153" s="32">
        <v>-6566.6000000000022</v>
      </c>
      <c r="O153" s="37">
        <v>0.60600242400969595</v>
      </c>
      <c r="P153" s="41">
        <v>20000.000000000004</v>
      </c>
      <c r="Q153" s="45">
        <f t="shared" si="22"/>
        <v>0.50499999999999989</v>
      </c>
    </row>
    <row r="154" spans="1:17" hidden="1" x14ac:dyDescent="0.25">
      <c r="A154" s="3" t="s">
        <v>111</v>
      </c>
      <c r="B154" s="16"/>
      <c r="C154" s="17">
        <f>1029.95</f>
        <v>1029.95</v>
      </c>
      <c r="D154" s="17">
        <f>2099.95</f>
        <v>2099.9499999999998</v>
      </c>
      <c r="E154" s="17">
        <f>1838.6</f>
        <v>1838.6</v>
      </c>
      <c r="F154" s="17">
        <f>1456</f>
        <v>1456</v>
      </c>
      <c r="G154" s="17">
        <f>1560</f>
        <v>1560</v>
      </c>
      <c r="H154" s="17">
        <f>4010.87</f>
        <v>4010.87</v>
      </c>
      <c r="I154" s="17">
        <f>3033.5</f>
        <v>3033.5</v>
      </c>
      <c r="J154" s="17">
        <f>2885.53</f>
        <v>2885.53</v>
      </c>
      <c r="K154" s="17">
        <f>2492.6</f>
        <v>2492.6</v>
      </c>
      <c r="L154" s="22">
        <v>20406.999999999996</v>
      </c>
      <c r="M154" s="27">
        <v>11896.6</v>
      </c>
      <c r="N154" s="32">
        <v>8510.399999999996</v>
      </c>
      <c r="O154" s="37">
        <v>1.7153640535951444</v>
      </c>
      <c r="P154" s="41">
        <v>14276</v>
      </c>
      <c r="Q154" s="45">
        <f t="shared" si="22"/>
        <v>1.4294620341832442</v>
      </c>
    </row>
    <row r="155" spans="1:17" hidden="1" x14ac:dyDescent="0.25">
      <c r="A155" s="3" t="s">
        <v>110</v>
      </c>
      <c r="B155" s="17">
        <f>154.04</f>
        <v>154.04</v>
      </c>
      <c r="C155" s="17">
        <f>1654.04</f>
        <v>1654.04</v>
      </c>
      <c r="D155" s="17">
        <f>154.04</f>
        <v>154.04</v>
      </c>
      <c r="E155" s="17">
        <f>154.04</f>
        <v>154.04</v>
      </c>
      <c r="F155" s="17">
        <f>154.04</f>
        <v>154.04</v>
      </c>
      <c r="G155" s="17">
        <f>154.04</f>
        <v>154.04</v>
      </c>
      <c r="H155" s="17">
        <f>739.04</f>
        <v>739.04</v>
      </c>
      <c r="I155" s="17">
        <f>125</f>
        <v>125</v>
      </c>
      <c r="J155" s="17">
        <f>399.04</f>
        <v>399.04</v>
      </c>
      <c r="K155" s="17">
        <f>279.04</f>
        <v>279.04000000000002</v>
      </c>
      <c r="L155" s="22">
        <v>3966.3599999999997</v>
      </c>
      <c r="M155" s="27">
        <v>4166.5999999999995</v>
      </c>
      <c r="N155" s="32">
        <v>-200.23999999999978</v>
      </c>
      <c r="O155" s="37">
        <v>0.95194163106609708</v>
      </c>
      <c r="P155" s="42">
        <v>4999.9999999999991</v>
      </c>
      <c r="Q155" s="46">
        <f t="shared" si="22"/>
        <v>0.79327200000000009</v>
      </c>
    </row>
    <row r="156" spans="1:17" hidden="1" x14ac:dyDescent="0.25">
      <c r="A156" s="3" t="s">
        <v>109</v>
      </c>
      <c r="B156" s="18">
        <f t="shared" ref="B156:K156" si="23">((((B151)+(B152))+(B153))+(B154))+(B155)</f>
        <v>11445.480000000001</v>
      </c>
      <c r="C156" s="18">
        <f t="shared" si="23"/>
        <v>13364.970000000001</v>
      </c>
      <c r="D156" s="18">
        <f t="shared" si="23"/>
        <v>4623.46</v>
      </c>
      <c r="E156" s="18">
        <f t="shared" si="23"/>
        <v>34658.639999999999</v>
      </c>
      <c r="F156" s="18">
        <f t="shared" si="23"/>
        <v>2710.04</v>
      </c>
      <c r="G156" s="18">
        <f t="shared" si="23"/>
        <v>2554.04</v>
      </c>
      <c r="H156" s="18">
        <f t="shared" si="23"/>
        <v>20115.91</v>
      </c>
      <c r="I156" s="18">
        <f t="shared" si="23"/>
        <v>5916.2800000000007</v>
      </c>
      <c r="J156" s="18">
        <f t="shared" si="23"/>
        <v>15454.570000000002</v>
      </c>
      <c r="K156" s="18">
        <f t="shared" si="23"/>
        <v>3821.64</v>
      </c>
      <c r="L156" s="23">
        <v>114665.03</v>
      </c>
      <c r="M156" s="28">
        <v>149724.79999999999</v>
      </c>
      <c r="N156" s="33">
        <v>-35059.76999999999</v>
      </c>
      <c r="O156" s="38">
        <v>0.76583859186988401</v>
      </c>
      <c r="P156" s="41">
        <v>188931</v>
      </c>
      <c r="Q156" s="45">
        <f t="shared" si="22"/>
        <v>0.60691485251229282</v>
      </c>
    </row>
    <row r="157" spans="1:17" hidden="1" x14ac:dyDescent="0.25">
      <c r="A157" s="3" t="s">
        <v>108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7">
        <f>3759.76</f>
        <v>3759.76</v>
      </c>
      <c r="L157" s="22">
        <v>3759.76</v>
      </c>
      <c r="M157" s="27">
        <v>0</v>
      </c>
      <c r="N157" s="32">
        <v>3759.76</v>
      </c>
      <c r="O157" s="37" t="s">
        <v>287</v>
      </c>
      <c r="P157" s="41">
        <v>0</v>
      </c>
      <c r="Q157" s="45"/>
    </row>
    <row r="158" spans="1:17" hidden="1" x14ac:dyDescent="0.25">
      <c r="A158" s="3" t="s">
        <v>107</v>
      </c>
      <c r="B158" s="17">
        <f>3506.45</f>
        <v>3506.45</v>
      </c>
      <c r="C158" s="17">
        <f>73.54</f>
        <v>73.540000000000006</v>
      </c>
      <c r="D158" s="17">
        <f>67.47</f>
        <v>67.47</v>
      </c>
      <c r="E158" s="17">
        <f>10987.56</f>
        <v>10987.56</v>
      </c>
      <c r="F158" s="17">
        <f>74.22</f>
        <v>74.22</v>
      </c>
      <c r="G158" s="17">
        <f>67.47</f>
        <v>67.47</v>
      </c>
      <c r="H158" s="17">
        <f>74.22</f>
        <v>74.22</v>
      </c>
      <c r="I158" s="17">
        <f>141.69</f>
        <v>141.69</v>
      </c>
      <c r="J158" s="17">
        <f>1312.08</f>
        <v>1312.08</v>
      </c>
      <c r="K158" s="17">
        <f>5385.56</f>
        <v>5385.56</v>
      </c>
      <c r="L158" s="22">
        <v>21690.26</v>
      </c>
      <c r="M158" s="27">
        <v>0</v>
      </c>
      <c r="N158" s="32">
        <v>21690.26</v>
      </c>
      <c r="O158" s="37" t="s">
        <v>287</v>
      </c>
      <c r="P158" s="41">
        <v>0</v>
      </c>
      <c r="Q158" s="45"/>
    </row>
    <row r="159" spans="1:17" hidden="1" x14ac:dyDescent="0.25">
      <c r="A159" s="3" t="s">
        <v>106</v>
      </c>
      <c r="B159" s="17">
        <f>775.75</f>
        <v>775.75</v>
      </c>
      <c r="C159" s="17">
        <f>698.88</f>
        <v>698.88</v>
      </c>
      <c r="D159" s="17">
        <f>698.88</f>
        <v>698.88</v>
      </c>
      <c r="E159" s="17">
        <f>698.88</f>
        <v>698.88</v>
      </c>
      <c r="F159" s="17">
        <f>698.88</f>
        <v>698.88</v>
      </c>
      <c r="G159" s="17">
        <f>698.88</f>
        <v>698.88</v>
      </c>
      <c r="H159" s="17">
        <f>1125.19</f>
        <v>1125.19</v>
      </c>
      <c r="I159" s="17">
        <f>2288.83</f>
        <v>2288.83</v>
      </c>
      <c r="J159" s="16"/>
      <c r="K159" s="17">
        <f>1091</f>
        <v>1091</v>
      </c>
      <c r="L159" s="22">
        <v>8775.17</v>
      </c>
      <c r="M159" s="27">
        <v>0</v>
      </c>
      <c r="N159" s="32">
        <v>8775.17</v>
      </c>
      <c r="O159" s="37" t="s">
        <v>287</v>
      </c>
      <c r="P159" s="41">
        <v>0</v>
      </c>
      <c r="Q159" s="45"/>
    </row>
    <row r="160" spans="1:17" hidden="1" x14ac:dyDescent="0.25">
      <c r="A160" s="3" t="s">
        <v>105</v>
      </c>
      <c r="B160" s="17">
        <f>500</f>
        <v>500</v>
      </c>
      <c r="C160" s="17">
        <f>8405.88</f>
        <v>8405.8799999999992</v>
      </c>
      <c r="D160" s="17">
        <f>6161.36</f>
        <v>6161.36</v>
      </c>
      <c r="E160" s="17">
        <f>235</f>
        <v>235</v>
      </c>
      <c r="F160" s="17">
        <f>5629.1</f>
        <v>5629.1</v>
      </c>
      <c r="G160" s="17">
        <f>2692.24</f>
        <v>2692.24</v>
      </c>
      <c r="H160" s="17">
        <f>9649.68</f>
        <v>9649.68</v>
      </c>
      <c r="I160" s="17">
        <f>1651.08</f>
        <v>1651.08</v>
      </c>
      <c r="J160" s="17">
        <f>1524</f>
        <v>1524</v>
      </c>
      <c r="K160" s="17">
        <f>2793.83</f>
        <v>2793.83</v>
      </c>
      <c r="L160" s="22">
        <v>39242.17</v>
      </c>
      <c r="M160" s="27">
        <v>108333.3</v>
      </c>
      <c r="N160" s="32">
        <v>-69091.13</v>
      </c>
      <c r="O160" s="37">
        <v>0.36223552684170052</v>
      </c>
      <c r="P160" s="41">
        <v>130000</v>
      </c>
      <c r="Q160" s="45">
        <f t="shared" si="22"/>
        <v>0.30186284615384612</v>
      </c>
    </row>
    <row r="161" spans="1:17" hidden="1" x14ac:dyDescent="0.25">
      <c r="A161" s="3" t="s">
        <v>104</v>
      </c>
      <c r="B161" s="17">
        <f>5683.69</f>
        <v>5683.69</v>
      </c>
      <c r="C161" s="17">
        <f>2504.33</f>
        <v>2504.33</v>
      </c>
      <c r="D161" s="17">
        <f>24175</f>
        <v>24175</v>
      </c>
      <c r="E161" s="17">
        <f>4245.07</f>
        <v>4245.07</v>
      </c>
      <c r="F161" s="17">
        <f>528.4</f>
        <v>528.4</v>
      </c>
      <c r="G161" s="17">
        <f>1577.95</f>
        <v>1577.95</v>
      </c>
      <c r="H161" s="17">
        <f>2427</f>
        <v>2427</v>
      </c>
      <c r="I161" s="17">
        <f>900</f>
        <v>900</v>
      </c>
      <c r="J161" s="17">
        <f>5227.89</f>
        <v>5227.8900000000003</v>
      </c>
      <c r="K161" s="16"/>
      <c r="L161" s="22">
        <v>47269.329999999994</v>
      </c>
      <c r="M161" s="27">
        <v>79200</v>
      </c>
      <c r="N161" s="32">
        <v>-31930.670000000006</v>
      </c>
      <c r="O161" s="37">
        <v>0.59683497474747471</v>
      </c>
      <c r="P161" s="41">
        <v>132000</v>
      </c>
      <c r="Q161" s="45">
        <f t="shared" si="22"/>
        <v>0.35810098484848479</v>
      </c>
    </row>
    <row r="162" spans="1:17" hidden="1" x14ac:dyDescent="0.25">
      <c r="A162" s="3" t="s">
        <v>103</v>
      </c>
      <c r="B162" s="17">
        <f>15375.11</f>
        <v>15375.11</v>
      </c>
      <c r="C162" s="17">
        <f>600.25</f>
        <v>600.25</v>
      </c>
      <c r="D162" s="17">
        <f>2517.92</f>
        <v>2517.92</v>
      </c>
      <c r="E162" s="17">
        <f>2825</f>
        <v>2825</v>
      </c>
      <c r="F162" s="17">
        <f>0</f>
        <v>0</v>
      </c>
      <c r="G162" s="17">
        <f>1952</f>
        <v>1952</v>
      </c>
      <c r="H162" s="17">
        <f>13587</f>
        <v>13587</v>
      </c>
      <c r="I162" s="16"/>
      <c r="J162" s="16"/>
      <c r="K162" s="16"/>
      <c r="L162" s="22">
        <v>36857.279999999999</v>
      </c>
      <c r="M162" s="27">
        <v>16800</v>
      </c>
      <c r="N162" s="32">
        <v>20057.28</v>
      </c>
      <c r="O162" s="37">
        <v>2.193885714285714</v>
      </c>
      <c r="P162" s="41">
        <v>28000</v>
      </c>
      <c r="Q162" s="45">
        <f t="shared" si="22"/>
        <v>1.3163314285714285</v>
      </c>
    </row>
    <row r="163" spans="1:17" hidden="1" x14ac:dyDescent="0.25">
      <c r="A163" s="3" t="s">
        <v>102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22">
        <v>0</v>
      </c>
      <c r="M163" s="27">
        <v>31095</v>
      </c>
      <c r="N163" s="32">
        <v>-31095</v>
      </c>
      <c r="O163" s="37">
        <v>0</v>
      </c>
      <c r="P163" s="42">
        <v>37314</v>
      </c>
      <c r="Q163" s="46">
        <f t="shared" si="22"/>
        <v>0</v>
      </c>
    </row>
    <row r="164" spans="1:17" hidden="1" x14ac:dyDescent="0.25">
      <c r="A164" s="3" t="s">
        <v>101</v>
      </c>
      <c r="B164" s="18">
        <f t="shared" ref="B164:K164" si="24">(((B160)+(B161))+(B162))+(B163)</f>
        <v>21558.799999999999</v>
      </c>
      <c r="C164" s="18">
        <f t="shared" si="24"/>
        <v>11510.46</v>
      </c>
      <c r="D164" s="18">
        <f t="shared" si="24"/>
        <v>32854.28</v>
      </c>
      <c r="E164" s="18">
        <f t="shared" si="24"/>
        <v>7305.07</v>
      </c>
      <c r="F164" s="18">
        <f t="shared" si="24"/>
        <v>6157.5</v>
      </c>
      <c r="G164" s="18">
        <f t="shared" si="24"/>
        <v>6222.19</v>
      </c>
      <c r="H164" s="18">
        <f t="shared" si="24"/>
        <v>25663.68</v>
      </c>
      <c r="I164" s="18">
        <f t="shared" si="24"/>
        <v>2551.08</v>
      </c>
      <c r="J164" s="18">
        <f t="shared" si="24"/>
        <v>6751.89</v>
      </c>
      <c r="K164" s="18">
        <f t="shared" si="24"/>
        <v>2793.83</v>
      </c>
      <c r="L164" s="23">
        <v>123368.77999999998</v>
      </c>
      <c r="M164" s="28">
        <v>235428.30000000005</v>
      </c>
      <c r="N164" s="33">
        <v>-112059.52000000006</v>
      </c>
      <c r="O164" s="38">
        <v>0.52401848036111187</v>
      </c>
      <c r="P164" s="41">
        <v>327314.00000000006</v>
      </c>
      <c r="Q164" s="45">
        <f t="shared" si="22"/>
        <v>0.37691262824077176</v>
      </c>
    </row>
    <row r="165" spans="1:17" hidden="1" x14ac:dyDescent="0.25">
      <c r="A165" s="3" t="s">
        <v>100</v>
      </c>
      <c r="B165" s="16"/>
      <c r="C165" s="16"/>
      <c r="D165" s="16"/>
      <c r="E165" s="16"/>
      <c r="F165" s="16"/>
      <c r="G165" s="16"/>
      <c r="H165" s="17">
        <f>1919</f>
        <v>1919</v>
      </c>
      <c r="I165" s="17">
        <f>1919</f>
        <v>1919</v>
      </c>
      <c r="J165" s="17">
        <f>1919</f>
        <v>1919</v>
      </c>
      <c r="K165" s="17">
        <f>1919</f>
        <v>1919</v>
      </c>
      <c r="L165" s="22">
        <v>7676</v>
      </c>
      <c r="M165" s="27">
        <v>17271</v>
      </c>
      <c r="N165" s="32">
        <v>-9595</v>
      </c>
      <c r="O165" s="37">
        <v>0.44444444444444442</v>
      </c>
      <c r="P165" s="41">
        <v>21109</v>
      </c>
      <c r="Q165" s="45">
        <f t="shared" si="22"/>
        <v>0.36363636363636365</v>
      </c>
    </row>
    <row r="166" spans="1:17" hidden="1" x14ac:dyDescent="0.25">
      <c r="A166" s="3" t="s">
        <v>99</v>
      </c>
      <c r="B166" s="17">
        <f>600</f>
        <v>600</v>
      </c>
      <c r="C166" s="16"/>
      <c r="D166" s="16"/>
      <c r="E166" s="16"/>
      <c r="F166" s="16"/>
      <c r="G166" s="16"/>
      <c r="H166" s="16"/>
      <c r="I166" s="16"/>
      <c r="J166" s="17">
        <f>495</f>
        <v>495</v>
      </c>
      <c r="K166" s="17">
        <f>1300</f>
        <v>1300</v>
      </c>
      <c r="L166" s="22">
        <v>2395</v>
      </c>
      <c r="M166" s="27">
        <v>0</v>
      </c>
      <c r="N166" s="32">
        <v>2395</v>
      </c>
      <c r="O166" s="37" t="s">
        <v>287</v>
      </c>
      <c r="P166" s="41">
        <v>0</v>
      </c>
      <c r="Q166" s="45"/>
    </row>
    <row r="167" spans="1:17" hidden="1" x14ac:dyDescent="0.25">
      <c r="A167" s="3" t="s">
        <v>98</v>
      </c>
      <c r="B167" s="17">
        <f>58923.54</f>
        <v>58923.54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22">
        <v>58923.54</v>
      </c>
      <c r="M167" s="27">
        <v>49103.30000000001</v>
      </c>
      <c r="N167" s="32">
        <v>9820.2399999999907</v>
      </c>
      <c r="O167" s="37">
        <v>1.199991446603385</v>
      </c>
      <c r="P167" s="41">
        <v>58924.000000000015</v>
      </c>
      <c r="Q167" s="45">
        <f t="shared" si="22"/>
        <v>0.99999219333378564</v>
      </c>
    </row>
    <row r="168" spans="1:17" hidden="1" x14ac:dyDescent="0.25">
      <c r="A168" s="3" t="s">
        <v>97</v>
      </c>
      <c r="B168" s="17">
        <f>1078.68</f>
        <v>1078.68</v>
      </c>
      <c r="C168" s="17">
        <f>1226.82</f>
        <v>1226.82</v>
      </c>
      <c r="D168" s="17">
        <f>1226.82</f>
        <v>1226.82</v>
      </c>
      <c r="E168" s="17">
        <f>1226.82</f>
        <v>1226.82</v>
      </c>
      <c r="F168" s="17">
        <f>493</f>
        <v>493</v>
      </c>
      <c r="G168" s="17">
        <f>1233.64</f>
        <v>1233.6400000000001</v>
      </c>
      <c r="H168" s="17">
        <f>1415.27</f>
        <v>1415.27</v>
      </c>
      <c r="I168" s="17">
        <f>488.44</f>
        <v>488.44</v>
      </c>
      <c r="J168" s="17">
        <f>856.9</f>
        <v>856.9</v>
      </c>
      <c r="K168" s="17">
        <f>593.75</f>
        <v>593.75</v>
      </c>
      <c r="L168" s="22">
        <v>9840.14</v>
      </c>
      <c r="M168" s="27">
        <v>0</v>
      </c>
      <c r="N168" s="32">
        <v>9840.14</v>
      </c>
      <c r="O168" s="37" t="s">
        <v>287</v>
      </c>
      <c r="P168" s="41">
        <v>0</v>
      </c>
      <c r="Q168" s="45"/>
    </row>
    <row r="169" spans="1:17" hidden="1" x14ac:dyDescent="0.25">
      <c r="A169" s="3" t="s">
        <v>96</v>
      </c>
      <c r="B169" s="17">
        <f>36787.2</f>
        <v>36787.199999999997</v>
      </c>
      <c r="C169" s="17">
        <f>2112.2</f>
        <v>2112.1999999999998</v>
      </c>
      <c r="D169" s="17">
        <f>2683.72</f>
        <v>2683.72</v>
      </c>
      <c r="E169" s="17">
        <f>3209.69</f>
        <v>3209.69</v>
      </c>
      <c r="F169" s="17">
        <f>475.3</f>
        <v>475.3</v>
      </c>
      <c r="G169" s="17">
        <f>2453.46</f>
        <v>2453.46</v>
      </c>
      <c r="H169" s="17">
        <f>1988.25</f>
        <v>1988.25</v>
      </c>
      <c r="I169" s="17">
        <f>1644.37</f>
        <v>1644.37</v>
      </c>
      <c r="J169" s="17">
        <f>2310.3</f>
        <v>2310.3000000000002</v>
      </c>
      <c r="K169" s="17">
        <f>1832.89</f>
        <v>1832.89</v>
      </c>
      <c r="L169" s="22">
        <v>55497.380000000005</v>
      </c>
      <c r="M169" s="27">
        <v>16705</v>
      </c>
      <c r="N169" s="32">
        <v>38792.380000000005</v>
      </c>
      <c r="O169" s="37">
        <v>3.3222017360071838</v>
      </c>
      <c r="P169" s="41">
        <v>20046</v>
      </c>
      <c r="Q169" s="45">
        <f t="shared" si="22"/>
        <v>2.7685014466726532</v>
      </c>
    </row>
    <row r="170" spans="1:17" hidden="1" x14ac:dyDescent="0.25">
      <c r="A170" s="3" t="s">
        <v>95</v>
      </c>
      <c r="B170" s="17">
        <f>6506.39</f>
        <v>6506.39</v>
      </c>
      <c r="C170" s="17">
        <f>8134.37</f>
        <v>8134.37</v>
      </c>
      <c r="D170" s="17">
        <f>7907.67</f>
        <v>7907.67</v>
      </c>
      <c r="E170" s="17">
        <f>6834.97</f>
        <v>6834.97</v>
      </c>
      <c r="F170" s="17">
        <f>6472.57</f>
        <v>6472.57</v>
      </c>
      <c r="G170" s="17">
        <f>6505.81</f>
        <v>6505.81</v>
      </c>
      <c r="H170" s="17">
        <f>6942.77</f>
        <v>6942.77</v>
      </c>
      <c r="I170" s="17">
        <f>6180.74</f>
        <v>6180.74</v>
      </c>
      <c r="J170" s="17">
        <f>8680.12</f>
        <v>8680.1200000000008</v>
      </c>
      <c r="K170" s="17">
        <f>5765.67</f>
        <v>5765.67</v>
      </c>
      <c r="L170" s="22">
        <v>69931.08</v>
      </c>
      <c r="M170" s="27">
        <v>112766.7</v>
      </c>
      <c r="N170" s="32">
        <v>-42835.619999999995</v>
      </c>
      <c r="O170" s="37">
        <v>0.62013945606282705</v>
      </c>
      <c r="P170" s="42">
        <v>135320</v>
      </c>
      <c r="Q170" s="46">
        <f t="shared" si="22"/>
        <v>0.51678303281111437</v>
      </c>
    </row>
    <row r="171" spans="1:17" x14ac:dyDescent="0.25">
      <c r="A171" s="3" t="s">
        <v>94</v>
      </c>
      <c r="B171" s="18">
        <f t="shared" ref="B171:K171" si="25">((((((((((((((B146)+(B147))+(B149))+(B150))+(B156))+(B157))+(B158))+(B159))+(B164))+(B165))+(B166))+(B167))+(B168))+(B169))+(B170)</f>
        <v>141551.28999999998</v>
      </c>
      <c r="C171" s="18">
        <f t="shared" si="25"/>
        <v>37121.24</v>
      </c>
      <c r="D171" s="18">
        <f t="shared" si="25"/>
        <v>50062.299999999996</v>
      </c>
      <c r="E171" s="18">
        <f t="shared" si="25"/>
        <v>64921.63</v>
      </c>
      <c r="F171" s="18">
        <f t="shared" si="25"/>
        <v>17081.509999999998</v>
      </c>
      <c r="G171" s="18">
        <f t="shared" si="25"/>
        <v>19735.490000000002</v>
      </c>
      <c r="H171" s="18">
        <f t="shared" si="25"/>
        <v>59244.289999999994</v>
      </c>
      <c r="I171" s="18">
        <f t="shared" si="25"/>
        <v>21130.43</v>
      </c>
      <c r="J171" s="18">
        <f t="shared" si="25"/>
        <v>39083.020000000004</v>
      </c>
      <c r="K171" s="18">
        <f t="shared" si="25"/>
        <v>28037.519999999997</v>
      </c>
      <c r="L171" s="23">
        <v>477968.72</v>
      </c>
      <c r="M171" s="28">
        <v>580999.1</v>
      </c>
      <c r="N171" s="33">
        <v>-103030.38</v>
      </c>
      <c r="O171" s="38">
        <v>0.82266688537039045</v>
      </c>
      <c r="P171" s="41">
        <v>751644</v>
      </c>
      <c r="Q171" s="45">
        <f t="shared" si="22"/>
        <v>0.63589773882316625</v>
      </c>
    </row>
    <row r="172" spans="1:17" hidden="1" x14ac:dyDescent="0.25">
      <c r="A172" s="3" t="s">
        <v>93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22">
        <v>0</v>
      </c>
      <c r="M172" s="27">
        <v>0</v>
      </c>
      <c r="N172" s="32">
        <v>0</v>
      </c>
      <c r="O172" s="37" t="s">
        <v>287</v>
      </c>
      <c r="P172" s="41">
        <v>0</v>
      </c>
      <c r="Q172" s="45"/>
    </row>
    <row r="173" spans="1:17" hidden="1" x14ac:dyDescent="0.25">
      <c r="A173" s="3" t="s">
        <v>92</v>
      </c>
      <c r="B173" s="16"/>
      <c r="C173" s="16"/>
      <c r="D173" s="16"/>
      <c r="E173" s="16"/>
      <c r="F173" s="16"/>
      <c r="G173" s="16"/>
      <c r="H173" s="16"/>
      <c r="I173" s="17">
        <f>312.5</f>
        <v>312.5</v>
      </c>
      <c r="J173" s="16"/>
      <c r="K173" s="16"/>
      <c r="L173" s="22">
        <v>312.5</v>
      </c>
      <c r="M173" s="27">
        <v>0</v>
      </c>
      <c r="N173" s="32">
        <v>312.5</v>
      </c>
      <c r="O173" s="37" t="s">
        <v>287</v>
      </c>
      <c r="P173" s="41">
        <v>0</v>
      </c>
      <c r="Q173" s="45"/>
    </row>
    <row r="174" spans="1:17" hidden="1" x14ac:dyDescent="0.25">
      <c r="A174" s="3" t="s">
        <v>91</v>
      </c>
      <c r="B174" s="16"/>
      <c r="C174" s="17">
        <f>2512.69</f>
        <v>2512.69</v>
      </c>
      <c r="D174" s="16"/>
      <c r="E174" s="17">
        <f>32733.05</f>
        <v>32733.05</v>
      </c>
      <c r="F174" s="17">
        <f>21170.96</f>
        <v>21170.959999999999</v>
      </c>
      <c r="G174" s="17">
        <f>21865.09</f>
        <v>21865.09</v>
      </c>
      <c r="H174" s="17">
        <f>22784.22</f>
        <v>22784.22</v>
      </c>
      <c r="I174" s="16"/>
      <c r="J174" s="16"/>
      <c r="K174" s="17">
        <f>16951.65</f>
        <v>16951.650000000001</v>
      </c>
      <c r="L174" s="22">
        <v>118017.66</v>
      </c>
      <c r="M174" s="27">
        <v>215574.19999999995</v>
      </c>
      <c r="N174" s="32">
        <v>-97556.53999999995</v>
      </c>
      <c r="O174" s="37">
        <v>0.54745725601672202</v>
      </c>
      <c r="P174" s="41">
        <v>258688.99999999994</v>
      </c>
      <c r="Q174" s="45">
        <f t="shared" si="22"/>
        <v>0.45621445055645982</v>
      </c>
    </row>
    <row r="175" spans="1:17" hidden="1" x14ac:dyDescent="0.25">
      <c r="A175" s="3" t="s">
        <v>90</v>
      </c>
      <c r="B175" s="17">
        <f>0</f>
        <v>0</v>
      </c>
      <c r="C175" s="17">
        <f>22953.68</f>
        <v>22953.68</v>
      </c>
      <c r="D175" s="17">
        <f>28961.65</f>
        <v>28961.65</v>
      </c>
      <c r="E175" s="16"/>
      <c r="F175" s="16"/>
      <c r="G175" s="16"/>
      <c r="H175" s="16"/>
      <c r="I175" s="16"/>
      <c r="J175" s="16"/>
      <c r="K175" s="17">
        <f>1995</f>
        <v>1995</v>
      </c>
      <c r="L175" s="22">
        <v>53910.33</v>
      </c>
      <c r="M175" s="27">
        <v>0</v>
      </c>
      <c r="N175" s="32">
        <v>53910.33</v>
      </c>
      <c r="O175" s="37" t="s">
        <v>287</v>
      </c>
      <c r="P175" s="41">
        <v>0</v>
      </c>
      <c r="Q175" s="45"/>
    </row>
    <row r="176" spans="1:17" hidden="1" x14ac:dyDescent="0.25">
      <c r="A176" s="3" t="s">
        <v>89</v>
      </c>
      <c r="B176" s="16"/>
      <c r="C176" s="16"/>
      <c r="D176" s="16"/>
      <c r="E176" s="16"/>
      <c r="F176" s="16"/>
      <c r="G176" s="16"/>
      <c r="H176" s="16"/>
      <c r="I176" s="17">
        <f>44247.77</f>
        <v>44247.77</v>
      </c>
      <c r="J176" s="17">
        <f>46903.18</f>
        <v>46903.18</v>
      </c>
      <c r="K176" s="17">
        <f>8456.1</f>
        <v>8456.1</v>
      </c>
      <c r="L176" s="22">
        <v>99607.05</v>
      </c>
      <c r="M176" s="27">
        <v>0</v>
      </c>
      <c r="N176" s="32">
        <v>99607.05</v>
      </c>
      <c r="O176" s="37" t="s">
        <v>287</v>
      </c>
      <c r="P176" s="41">
        <v>0</v>
      </c>
      <c r="Q176" s="45"/>
    </row>
    <row r="177" spans="1:17" hidden="1" x14ac:dyDescent="0.25">
      <c r="A177" s="3" t="s">
        <v>88</v>
      </c>
      <c r="B177" s="16"/>
      <c r="C177" s="16"/>
      <c r="D177" s="16"/>
      <c r="E177" s="16"/>
      <c r="F177" s="16"/>
      <c r="G177" s="16"/>
      <c r="H177" s="16"/>
      <c r="I177" s="17">
        <f>179</f>
        <v>179</v>
      </c>
      <c r="J177" s="16"/>
      <c r="K177" s="16"/>
      <c r="L177" s="22">
        <v>179</v>
      </c>
      <c r="M177" s="27">
        <v>0</v>
      </c>
      <c r="N177" s="32">
        <v>179</v>
      </c>
      <c r="O177" s="37" t="s">
        <v>287</v>
      </c>
      <c r="P177" s="42">
        <v>0</v>
      </c>
      <c r="Q177" s="46"/>
    </row>
    <row r="178" spans="1:17" x14ac:dyDescent="0.25">
      <c r="A178" s="3" t="s">
        <v>87</v>
      </c>
      <c r="B178" s="18">
        <f t="shared" ref="B178:K178" si="26">(((((B172)+(B173))+(B174))+(B175))+(B176))+(B177)</f>
        <v>0</v>
      </c>
      <c r="C178" s="18">
        <f t="shared" si="26"/>
        <v>25466.37</v>
      </c>
      <c r="D178" s="18">
        <f t="shared" si="26"/>
        <v>28961.65</v>
      </c>
      <c r="E178" s="18">
        <f t="shared" si="26"/>
        <v>32733.05</v>
      </c>
      <c r="F178" s="18">
        <f t="shared" si="26"/>
        <v>21170.959999999999</v>
      </c>
      <c r="G178" s="18">
        <f t="shared" si="26"/>
        <v>21865.09</v>
      </c>
      <c r="H178" s="18">
        <f t="shared" si="26"/>
        <v>22784.22</v>
      </c>
      <c r="I178" s="18">
        <f t="shared" si="26"/>
        <v>44739.27</v>
      </c>
      <c r="J178" s="18">
        <f t="shared" si="26"/>
        <v>46903.18</v>
      </c>
      <c r="K178" s="18">
        <f t="shared" si="26"/>
        <v>27402.75</v>
      </c>
      <c r="L178" s="23">
        <v>272026.53999999998</v>
      </c>
      <c r="M178" s="28">
        <v>215574.19999999995</v>
      </c>
      <c r="N178" s="33">
        <v>56452.340000000026</v>
      </c>
      <c r="O178" s="38">
        <v>1.2618696485943124</v>
      </c>
      <c r="P178" s="41">
        <v>258688.99999999994</v>
      </c>
      <c r="Q178" s="45">
        <f t="shared" si="22"/>
        <v>1.0515582030932897</v>
      </c>
    </row>
    <row r="179" spans="1:17" hidden="1" x14ac:dyDescent="0.25">
      <c r="A179" s="3" t="s">
        <v>86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22">
        <v>0</v>
      </c>
      <c r="M179" s="27">
        <v>0</v>
      </c>
      <c r="N179" s="32">
        <v>0</v>
      </c>
      <c r="O179" s="37" t="s">
        <v>287</v>
      </c>
      <c r="P179" s="41">
        <v>0</v>
      </c>
      <c r="Q179" s="45"/>
    </row>
    <row r="180" spans="1:17" hidden="1" x14ac:dyDescent="0.25">
      <c r="A180" s="3" t="s">
        <v>85</v>
      </c>
      <c r="B180" s="16"/>
      <c r="C180" s="16"/>
      <c r="D180" s="16"/>
      <c r="E180" s="16"/>
      <c r="F180" s="17">
        <f>1245</f>
        <v>1245</v>
      </c>
      <c r="G180" s="17">
        <f>1485</f>
        <v>1485</v>
      </c>
      <c r="H180" s="17">
        <f>840</f>
        <v>840</v>
      </c>
      <c r="I180" s="16"/>
      <c r="J180" s="17">
        <f>1560</f>
        <v>1560</v>
      </c>
      <c r="K180" s="17">
        <f>300</f>
        <v>300</v>
      </c>
      <c r="L180" s="22">
        <v>5430</v>
      </c>
      <c r="M180" s="27">
        <v>0</v>
      </c>
      <c r="N180" s="32">
        <v>5430</v>
      </c>
      <c r="O180" s="37" t="s">
        <v>287</v>
      </c>
      <c r="P180" s="41">
        <v>0</v>
      </c>
      <c r="Q180" s="45"/>
    </row>
    <row r="181" spans="1:17" hidden="1" x14ac:dyDescent="0.25">
      <c r="A181" s="3" t="s">
        <v>84</v>
      </c>
      <c r="B181" s="16"/>
      <c r="C181" s="16"/>
      <c r="D181" s="16"/>
      <c r="E181" s="17">
        <f>1110</f>
        <v>1110</v>
      </c>
      <c r="F181" s="17">
        <f>270</f>
        <v>270</v>
      </c>
      <c r="G181" s="16"/>
      <c r="H181" s="16"/>
      <c r="I181" s="17">
        <f>1480</f>
        <v>1480</v>
      </c>
      <c r="J181" s="17">
        <f>300</f>
        <v>300</v>
      </c>
      <c r="K181" s="16"/>
      <c r="L181" s="22">
        <v>3160</v>
      </c>
      <c r="M181" s="27">
        <v>0</v>
      </c>
      <c r="N181" s="32">
        <v>3160</v>
      </c>
      <c r="O181" s="37" t="s">
        <v>287</v>
      </c>
      <c r="P181" s="41">
        <v>0</v>
      </c>
      <c r="Q181" s="45"/>
    </row>
    <row r="182" spans="1:17" hidden="1" x14ac:dyDescent="0.25">
      <c r="A182" s="3" t="s">
        <v>83</v>
      </c>
      <c r="B182" s="16"/>
      <c r="C182" s="16"/>
      <c r="D182" s="16"/>
      <c r="E182" s="17">
        <f>28.89</f>
        <v>28.89</v>
      </c>
      <c r="F182" s="17">
        <f>725.6</f>
        <v>725.6</v>
      </c>
      <c r="G182" s="17">
        <f>3798.03</f>
        <v>3798.03</v>
      </c>
      <c r="H182" s="16"/>
      <c r="I182" s="17">
        <f>95.97</f>
        <v>95.97</v>
      </c>
      <c r="J182" s="17">
        <f>33</f>
        <v>33</v>
      </c>
      <c r="K182" s="16"/>
      <c r="L182" s="22">
        <v>4681.4900000000007</v>
      </c>
      <c r="M182" s="27">
        <v>0</v>
      </c>
      <c r="N182" s="32">
        <v>4681.4900000000007</v>
      </c>
      <c r="O182" s="37" t="s">
        <v>287</v>
      </c>
      <c r="P182" s="41">
        <v>0</v>
      </c>
      <c r="Q182" s="45"/>
    </row>
    <row r="183" spans="1:17" hidden="1" x14ac:dyDescent="0.25">
      <c r="A183" s="3" t="s">
        <v>82</v>
      </c>
      <c r="B183" s="17">
        <f>1302.93</f>
        <v>1302.93</v>
      </c>
      <c r="C183" s="16"/>
      <c r="D183" s="16"/>
      <c r="E183" s="17">
        <f>3706.02</f>
        <v>3706.02</v>
      </c>
      <c r="F183" s="17">
        <f>568.13</f>
        <v>568.13</v>
      </c>
      <c r="G183" s="17">
        <f>1102.31</f>
        <v>1102.31</v>
      </c>
      <c r="H183" s="17">
        <f>139.84</f>
        <v>139.84</v>
      </c>
      <c r="I183" s="17">
        <f>717.8</f>
        <v>717.8</v>
      </c>
      <c r="J183" s="17">
        <f>248.41</f>
        <v>248.41</v>
      </c>
      <c r="K183" s="17">
        <f>1772.05</f>
        <v>1772.05</v>
      </c>
      <c r="L183" s="22">
        <v>9557.49</v>
      </c>
      <c r="M183" s="27">
        <v>0</v>
      </c>
      <c r="N183" s="32">
        <v>9557.49</v>
      </c>
      <c r="O183" s="37" t="s">
        <v>287</v>
      </c>
      <c r="P183" s="41">
        <v>0</v>
      </c>
      <c r="Q183" s="45"/>
    </row>
    <row r="184" spans="1:17" hidden="1" x14ac:dyDescent="0.25">
      <c r="A184" s="3" t="s">
        <v>81</v>
      </c>
      <c r="B184" s="16"/>
      <c r="C184" s="17">
        <f>60</f>
        <v>60</v>
      </c>
      <c r="D184" s="16"/>
      <c r="E184" s="17">
        <f>54.95</f>
        <v>54.95</v>
      </c>
      <c r="F184" s="17">
        <f>357.53</f>
        <v>357.53</v>
      </c>
      <c r="G184" s="17">
        <f>1095.82</f>
        <v>1095.82</v>
      </c>
      <c r="H184" s="16"/>
      <c r="I184" s="16"/>
      <c r="J184" s="17">
        <f>50</f>
        <v>50</v>
      </c>
      <c r="K184" s="17">
        <f>180</f>
        <v>180</v>
      </c>
      <c r="L184" s="22">
        <v>1798.3</v>
      </c>
      <c r="M184" s="27">
        <v>25835</v>
      </c>
      <c r="N184" s="32">
        <v>-24036.7</v>
      </c>
      <c r="O184" s="37">
        <v>6.960712212115347E-2</v>
      </c>
      <c r="P184" s="42">
        <v>31002</v>
      </c>
      <c r="Q184" s="46">
        <f t="shared" si="22"/>
        <v>5.8005935100961227E-2</v>
      </c>
    </row>
    <row r="185" spans="1:17" x14ac:dyDescent="0.25">
      <c r="A185" s="3" t="s">
        <v>80</v>
      </c>
      <c r="B185" s="18">
        <f t="shared" ref="B185:K185" si="27">(((((B179)+(B180))+(B181))+(B182))+(B183))+(B184)</f>
        <v>1302.93</v>
      </c>
      <c r="C185" s="18">
        <f t="shared" si="27"/>
        <v>60</v>
      </c>
      <c r="D185" s="18">
        <f t="shared" si="27"/>
        <v>0</v>
      </c>
      <c r="E185" s="18">
        <f t="shared" si="27"/>
        <v>4899.8599999999997</v>
      </c>
      <c r="F185" s="18">
        <f t="shared" si="27"/>
        <v>3166.26</v>
      </c>
      <c r="G185" s="18">
        <f t="shared" si="27"/>
        <v>7481.16</v>
      </c>
      <c r="H185" s="18">
        <f t="shared" si="27"/>
        <v>979.84</v>
      </c>
      <c r="I185" s="18">
        <f t="shared" si="27"/>
        <v>2293.77</v>
      </c>
      <c r="J185" s="18">
        <f t="shared" si="27"/>
        <v>2191.41</v>
      </c>
      <c r="K185" s="18">
        <f t="shared" si="27"/>
        <v>2252.0500000000002</v>
      </c>
      <c r="L185" s="23">
        <v>24627.279999999999</v>
      </c>
      <c r="M185" s="28">
        <v>25835</v>
      </c>
      <c r="N185" s="33">
        <v>-1207.7200000000012</v>
      </c>
      <c r="O185" s="38">
        <v>0.95325256435068706</v>
      </c>
      <c r="P185" s="41">
        <v>31002</v>
      </c>
      <c r="Q185" s="45">
        <f t="shared" si="22"/>
        <v>0.79437713695890588</v>
      </c>
    </row>
    <row r="186" spans="1:17" x14ac:dyDescent="0.25">
      <c r="A186" s="3" t="s">
        <v>79</v>
      </c>
      <c r="B186" s="17">
        <f>1919</f>
        <v>1919</v>
      </c>
      <c r="C186" s="17">
        <f>1919</f>
        <v>1919</v>
      </c>
      <c r="D186" s="17">
        <f>1919</f>
        <v>1919</v>
      </c>
      <c r="E186" s="17">
        <f>1919</f>
        <v>1919</v>
      </c>
      <c r="F186" s="17">
        <f>1919</f>
        <v>1919</v>
      </c>
      <c r="G186" s="17">
        <f>1919</f>
        <v>1919</v>
      </c>
      <c r="H186" s="16"/>
      <c r="I186" s="16"/>
      <c r="J186" s="16"/>
      <c r="K186" s="16"/>
      <c r="L186" s="22">
        <v>11514</v>
      </c>
      <c r="M186" s="27">
        <v>0</v>
      </c>
      <c r="N186" s="32">
        <v>11514</v>
      </c>
      <c r="O186" s="37" t="s">
        <v>287</v>
      </c>
      <c r="P186" s="42">
        <v>0</v>
      </c>
      <c r="Q186" s="46"/>
    </row>
    <row r="187" spans="1:17" x14ac:dyDescent="0.25">
      <c r="A187" s="3" t="s">
        <v>78</v>
      </c>
      <c r="B187" s="18">
        <f t="shared" ref="B187:K187" si="28">(((((((((((B36)+(B56))+(B66))+(B71))+(B78))+(B90))+(B130))+(B145))+(B171))+(B178))+(B185))+(B186)</f>
        <v>636146.05000000005</v>
      </c>
      <c r="C187" s="18">
        <f t="shared" si="28"/>
        <v>477041.72000000003</v>
      </c>
      <c r="D187" s="18">
        <f t="shared" si="28"/>
        <v>504125.26999999996</v>
      </c>
      <c r="E187" s="18">
        <f t="shared" si="28"/>
        <v>495867.14999999997</v>
      </c>
      <c r="F187" s="18">
        <f t="shared" si="28"/>
        <v>382914.09000000008</v>
      </c>
      <c r="G187" s="18">
        <f t="shared" si="28"/>
        <v>424264.69999999995</v>
      </c>
      <c r="H187" s="18">
        <f t="shared" si="28"/>
        <v>629187.19999999995</v>
      </c>
      <c r="I187" s="18">
        <f t="shared" si="28"/>
        <v>462181.5500000001</v>
      </c>
      <c r="J187" s="18">
        <f t="shared" si="28"/>
        <v>594393.45000000007</v>
      </c>
      <c r="K187" s="18">
        <f t="shared" si="28"/>
        <v>426424.62</v>
      </c>
      <c r="L187" s="23">
        <v>5032545.8000000007</v>
      </c>
      <c r="M187" s="28">
        <v>5833402.8799999999</v>
      </c>
      <c r="N187" s="33">
        <v>-800857.07999999914</v>
      </c>
      <c r="O187" s="38">
        <v>0.86271185164567288</v>
      </c>
      <c r="P187" s="41">
        <v>7155428</v>
      </c>
      <c r="Q187" s="45">
        <f t="shared" si="22"/>
        <v>0.7033186274811235</v>
      </c>
    </row>
    <row r="188" spans="1:17" x14ac:dyDescent="0.25">
      <c r="A188" s="3" t="s">
        <v>77</v>
      </c>
      <c r="B188" s="17">
        <f>5585.61</f>
        <v>5585.61</v>
      </c>
      <c r="C188" s="17">
        <f>0</f>
        <v>0</v>
      </c>
      <c r="D188" s="17">
        <f>0</f>
        <v>0</v>
      </c>
      <c r="E188" s="17">
        <f>0</f>
        <v>0</v>
      </c>
      <c r="F188" s="16"/>
      <c r="G188" s="16"/>
      <c r="H188" s="16"/>
      <c r="I188" s="16"/>
      <c r="J188" s="16"/>
      <c r="K188" s="16"/>
      <c r="L188" s="22">
        <v>5585.61</v>
      </c>
      <c r="M188" s="27">
        <v>0</v>
      </c>
      <c r="N188" s="32">
        <v>5585.61</v>
      </c>
      <c r="O188" s="37" t="s">
        <v>287</v>
      </c>
      <c r="P188" s="41">
        <v>0</v>
      </c>
      <c r="Q188" s="45"/>
    </row>
    <row r="189" spans="1:17" hidden="1" x14ac:dyDescent="0.25">
      <c r="A189" s="3" t="s">
        <v>76</v>
      </c>
      <c r="B189" s="16"/>
      <c r="C189" s="16"/>
      <c r="D189" s="16"/>
      <c r="E189" s="16"/>
      <c r="F189" s="16"/>
      <c r="G189" s="16"/>
      <c r="H189" s="17">
        <f>7267.27</f>
        <v>7267.27</v>
      </c>
      <c r="I189" s="17">
        <f>5237.84</f>
        <v>5237.84</v>
      </c>
      <c r="J189" s="17">
        <f>7374.7</f>
        <v>7374.7</v>
      </c>
      <c r="K189" s="17">
        <f>4923.56</f>
        <v>4923.5600000000004</v>
      </c>
      <c r="L189" s="22">
        <v>24803.370000000003</v>
      </c>
      <c r="M189" s="27">
        <v>0</v>
      </c>
      <c r="N189" s="32">
        <v>24803.370000000003</v>
      </c>
      <c r="O189" s="37" t="s">
        <v>287</v>
      </c>
      <c r="P189" s="41">
        <v>0</v>
      </c>
      <c r="Q189" s="45"/>
    </row>
    <row r="190" spans="1:17" hidden="1" x14ac:dyDescent="0.25">
      <c r="A190" s="3" t="s">
        <v>75</v>
      </c>
      <c r="B190" s="17">
        <f>6637.84</f>
        <v>6637.84</v>
      </c>
      <c r="C190" s="17">
        <f>5237.84</f>
        <v>5237.84</v>
      </c>
      <c r="D190" s="17">
        <f>5237.84</f>
        <v>5237.84</v>
      </c>
      <c r="E190" s="17">
        <f>5237.84</f>
        <v>5237.84</v>
      </c>
      <c r="F190" s="17">
        <f>5237.84</f>
        <v>5237.84</v>
      </c>
      <c r="G190" s="17">
        <f>5487.84</f>
        <v>5487.84</v>
      </c>
      <c r="H190" s="16"/>
      <c r="I190" s="16"/>
      <c r="J190" s="16"/>
      <c r="K190" s="16"/>
      <c r="L190" s="22">
        <v>33077.040000000001</v>
      </c>
      <c r="M190" s="27">
        <v>52378.399999999994</v>
      </c>
      <c r="N190" s="32">
        <v>-19301.359999999993</v>
      </c>
      <c r="O190" s="37">
        <v>0.63150153498388661</v>
      </c>
      <c r="P190" s="41">
        <v>62853.999999999993</v>
      </c>
      <c r="Q190" s="45">
        <f t="shared" si="22"/>
        <v>0.52625194896108451</v>
      </c>
    </row>
    <row r="191" spans="1:17" hidden="1" x14ac:dyDescent="0.25">
      <c r="A191" s="3" t="s">
        <v>74</v>
      </c>
      <c r="B191" s="16"/>
      <c r="C191" s="16"/>
      <c r="D191" s="16"/>
      <c r="E191" s="16"/>
      <c r="F191" s="16"/>
      <c r="G191" s="16"/>
      <c r="H191" s="16"/>
      <c r="I191" s="17">
        <f>54.99</f>
        <v>54.99</v>
      </c>
      <c r="J191" s="16"/>
      <c r="K191" s="16"/>
      <c r="L191" s="22">
        <v>54.99</v>
      </c>
      <c r="M191" s="27">
        <v>0</v>
      </c>
      <c r="N191" s="32">
        <v>54.99</v>
      </c>
      <c r="O191" s="37" t="s">
        <v>287</v>
      </c>
      <c r="P191" s="41">
        <v>22898</v>
      </c>
      <c r="Q191" s="45">
        <f t="shared" si="22"/>
        <v>2.4015197833871954E-3</v>
      </c>
    </row>
    <row r="192" spans="1:17" hidden="1" x14ac:dyDescent="0.25">
      <c r="A192" s="3" t="s">
        <v>73</v>
      </c>
      <c r="B192" s="17"/>
      <c r="C192" s="17"/>
      <c r="D192" s="17"/>
      <c r="E192" s="17"/>
      <c r="F192" s="17"/>
      <c r="G192" s="17">
        <f>0</f>
        <v>0</v>
      </c>
      <c r="H192" s="17">
        <f>4993.16</f>
        <v>4993.16</v>
      </c>
      <c r="I192" s="17">
        <f>3166.68</f>
        <v>3166.68</v>
      </c>
      <c r="J192" s="17">
        <f>3166.68</f>
        <v>3166.68</v>
      </c>
      <c r="K192" s="17">
        <f>3166.68</f>
        <v>3166.68</v>
      </c>
      <c r="L192" s="22">
        <v>14493.2</v>
      </c>
      <c r="M192" s="27">
        <v>12666.68</v>
      </c>
      <c r="N192" s="32">
        <v>1826.5200000000004</v>
      </c>
      <c r="O192" s="37">
        <v>1.1441987955802153</v>
      </c>
      <c r="P192" s="42">
        <v>19000</v>
      </c>
      <c r="Q192" s="46">
        <f t="shared" si="22"/>
        <v>0.76280000000000003</v>
      </c>
    </row>
    <row r="193" spans="1:17" x14ac:dyDescent="0.25">
      <c r="A193" s="3" t="s">
        <v>72</v>
      </c>
      <c r="B193" s="18">
        <f t="shared" ref="B193:K193" si="29">(((B189)+(B190))+(B191))+(B192)</f>
        <v>6637.84</v>
      </c>
      <c r="C193" s="18">
        <f t="shared" si="29"/>
        <v>5237.84</v>
      </c>
      <c r="D193" s="18">
        <f t="shared" si="29"/>
        <v>5237.84</v>
      </c>
      <c r="E193" s="18">
        <f t="shared" si="29"/>
        <v>5237.84</v>
      </c>
      <c r="F193" s="18">
        <f t="shared" si="29"/>
        <v>5237.84</v>
      </c>
      <c r="G193" s="18">
        <f t="shared" si="29"/>
        <v>5487.84</v>
      </c>
      <c r="H193" s="18">
        <f t="shared" si="29"/>
        <v>12260.43</v>
      </c>
      <c r="I193" s="18">
        <f t="shared" si="29"/>
        <v>8459.51</v>
      </c>
      <c r="J193" s="18">
        <f t="shared" si="29"/>
        <v>10541.38</v>
      </c>
      <c r="K193" s="18">
        <f t="shared" si="29"/>
        <v>8090.24</v>
      </c>
      <c r="L193" s="23">
        <v>72428.600000000006</v>
      </c>
      <c r="M193" s="28">
        <v>65045.080000000009</v>
      </c>
      <c r="N193" s="33">
        <v>7383.5199999999968</v>
      </c>
      <c r="O193" s="38">
        <v>1.1135138891365803</v>
      </c>
      <c r="P193" s="41">
        <v>104752.00000000001</v>
      </c>
      <c r="Q193" s="45">
        <f t="shared" si="22"/>
        <v>0.69142928058652819</v>
      </c>
    </row>
    <row r="194" spans="1:17" x14ac:dyDescent="0.25">
      <c r="A194" s="3" t="s">
        <v>71</v>
      </c>
      <c r="B194" s="16"/>
      <c r="C194" s="16"/>
      <c r="D194" s="16"/>
      <c r="E194" s="16"/>
      <c r="F194" s="16"/>
      <c r="G194" s="16"/>
      <c r="H194" s="16"/>
      <c r="I194" s="17">
        <f>97.68</f>
        <v>97.68</v>
      </c>
      <c r="J194" s="17">
        <f>31504.47</f>
        <v>31504.47</v>
      </c>
      <c r="K194" s="17">
        <f>7108.59</f>
        <v>7108.59</v>
      </c>
      <c r="L194" s="22">
        <v>38710.740000000005</v>
      </c>
      <c r="M194" s="27">
        <v>0</v>
      </c>
      <c r="N194" s="32">
        <v>38710.740000000005</v>
      </c>
      <c r="O194" s="37" t="s">
        <v>287</v>
      </c>
      <c r="P194" s="41">
        <v>0</v>
      </c>
      <c r="Q194" s="45"/>
    </row>
    <row r="195" spans="1:17" x14ac:dyDescent="0.25">
      <c r="A195" s="3" t="s">
        <v>70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22">
        <v>0</v>
      </c>
      <c r="M195" s="27">
        <v>278035.84000000008</v>
      </c>
      <c r="N195" s="32">
        <v>-278035.84000000008</v>
      </c>
      <c r="O195" s="37">
        <v>0</v>
      </c>
      <c r="P195" s="42">
        <v>333643.00000000012</v>
      </c>
      <c r="Q195" s="46">
        <f t="shared" si="22"/>
        <v>0</v>
      </c>
    </row>
    <row r="196" spans="1:17" x14ac:dyDescent="0.25">
      <c r="A196" s="3" t="s">
        <v>69</v>
      </c>
      <c r="B196" s="18">
        <f t="shared" ref="B196:K196" si="30">((((B187)+(B188))+(B193))+(B194))+(B195)</f>
        <v>648369.5</v>
      </c>
      <c r="C196" s="18">
        <f t="shared" si="30"/>
        <v>482279.56000000006</v>
      </c>
      <c r="D196" s="18">
        <f t="shared" si="30"/>
        <v>509363.11</v>
      </c>
      <c r="E196" s="18">
        <f t="shared" si="30"/>
        <v>501104.99</v>
      </c>
      <c r="F196" s="18">
        <f t="shared" si="30"/>
        <v>388151.93000000011</v>
      </c>
      <c r="G196" s="18">
        <f t="shared" si="30"/>
        <v>429752.54</v>
      </c>
      <c r="H196" s="18">
        <f t="shared" si="30"/>
        <v>641447.63</v>
      </c>
      <c r="I196" s="18">
        <f t="shared" si="30"/>
        <v>470738.74000000011</v>
      </c>
      <c r="J196" s="18">
        <f t="shared" si="30"/>
        <v>636439.30000000005</v>
      </c>
      <c r="K196" s="18">
        <f t="shared" si="30"/>
        <v>441623.45</v>
      </c>
      <c r="L196" s="23">
        <v>5149270.7500000009</v>
      </c>
      <c r="M196" s="28">
        <v>6176483.7999999998</v>
      </c>
      <c r="N196" s="33">
        <v>-1027213.0499999989</v>
      </c>
      <c r="O196" s="38">
        <v>0.83368967145999817</v>
      </c>
      <c r="P196" s="43">
        <v>7593823</v>
      </c>
      <c r="Q196" s="47">
        <f t="shared" si="22"/>
        <v>0.67808674892738496</v>
      </c>
    </row>
    <row r="197" spans="1:17" x14ac:dyDescent="0.25">
      <c r="A197" s="3" t="s">
        <v>68</v>
      </c>
      <c r="B197" s="18">
        <f t="shared" ref="B197:K197" si="31">(B34)-(B196)</f>
        <v>-211156.09999999998</v>
      </c>
      <c r="C197" s="18">
        <f t="shared" si="31"/>
        <v>-34362.030000000028</v>
      </c>
      <c r="D197" s="18">
        <f t="shared" si="31"/>
        <v>55749.630000000005</v>
      </c>
      <c r="E197" s="18">
        <f t="shared" si="31"/>
        <v>65527.119999999879</v>
      </c>
      <c r="F197" s="18">
        <f t="shared" si="31"/>
        <v>134883.97999999986</v>
      </c>
      <c r="G197" s="18">
        <f t="shared" si="31"/>
        <v>102371.43</v>
      </c>
      <c r="H197" s="18">
        <f t="shared" si="31"/>
        <v>827.77000000001863</v>
      </c>
      <c r="I197" s="18">
        <f t="shared" si="31"/>
        <v>34582.639999999898</v>
      </c>
      <c r="J197" s="18">
        <f t="shared" si="31"/>
        <v>-122323.85000000003</v>
      </c>
      <c r="K197" s="18">
        <f t="shared" si="31"/>
        <v>161946.27000000008</v>
      </c>
      <c r="L197" s="23">
        <v>188046.85999999969</v>
      </c>
      <c r="M197" s="28">
        <v>113149.08999999997</v>
      </c>
      <c r="N197" s="33">
        <v>74897.769999999728</v>
      </c>
      <c r="O197" s="38">
        <v>1.6619387747616861</v>
      </c>
      <c r="P197" s="43">
        <v>-1.1641532182693481E-10</v>
      </c>
      <c r="Q197" s="47"/>
    </row>
    <row r="198" spans="1:17" x14ac:dyDescent="0.25">
      <c r="A198" s="3" t="s">
        <v>67</v>
      </c>
      <c r="B198" s="18">
        <f t="shared" ref="B198:K198" si="32">(B197)+(0)</f>
        <v>-211156.09999999998</v>
      </c>
      <c r="C198" s="18">
        <f t="shared" si="32"/>
        <v>-34362.030000000028</v>
      </c>
      <c r="D198" s="18">
        <f t="shared" si="32"/>
        <v>55749.630000000005</v>
      </c>
      <c r="E198" s="18">
        <f t="shared" si="32"/>
        <v>65527.119999999879</v>
      </c>
      <c r="F198" s="18">
        <f t="shared" si="32"/>
        <v>134883.97999999986</v>
      </c>
      <c r="G198" s="18">
        <f t="shared" si="32"/>
        <v>102371.43</v>
      </c>
      <c r="H198" s="18">
        <f t="shared" si="32"/>
        <v>827.77000000001863</v>
      </c>
      <c r="I198" s="18">
        <f t="shared" si="32"/>
        <v>34582.639999999898</v>
      </c>
      <c r="J198" s="18">
        <f t="shared" si="32"/>
        <v>-122323.85000000003</v>
      </c>
      <c r="K198" s="18">
        <f t="shared" si="32"/>
        <v>161946.27000000008</v>
      </c>
      <c r="L198" s="23">
        <v>188046.85999999969</v>
      </c>
      <c r="M198" s="28">
        <v>113149.08999999997</v>
      </c>
      <c r="N198" s="33">
        <v>74897.769999999728</v>
      </c>
      <c r="O198" s="38">
        <v>1.6619387747616861</v>
      </c>
      <c r="P198" s="41">
        <v>-1.1641532182693481E-10</v>
      </c>
      <c r="Q198" s="45"/>
    </row>
    <row r="199" spans="1:17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2" spans="1:17" x14ac:dyDescent="0.25">
      <c r="A202" s="129" t="s">
        <v>277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</row>
  </sheetData>
  <autoFilter ref="A5:Q198" xr:uid="{9E7DA3E9-B12B-424F-9684-1C4A887C08C8}">
    <filterColumn colId="11" showButton="0"/>
    <filterColumn colId="12" showButton="0"/>
    <filterColumn colId="13" showButton="0"/>
  </autoFilter>
  <mergeCells count="5">
    <mergeCell ref="A1:O1"/>
    <mergeCell ref="A2:O2"/>
    <mergeCell ref="A3:O3"/>
    <mergeCell ref="L5:O5"/>
    <mergeCell ref="A202:O20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DA3E9-B12B-424F-9684-1C4A887C08C8}">
  <dimension ref="A1:Q202"/>
  <sheetViews>
    <sheetView topLeftCell="A165" workbookViewId="0">
      <selection activeCell="Q196" sqref="Q196"/>
    </sheetView>
  </sheetViews>
  <sheetFormatPr defaultRowHeight="15" x14ac:dyDescent="0.25"/>
  <cols>
    <col min="1" max="1" width="46.42578125" customWidth="1"/>
    <col min="2" max="2" width="12" customWidth="1"/>
    <col min="3" max="3" width="11.140625" customWidth="1"/>
    <col min="4" max="9" width="10.28515625" customWidth="1"/>
    <col min="10" max="10" width="12" customWidth="1"/>
    <col min="11" max="11" width="10.28515625" customWidth="1"/>
    <col min="12" max="13" width="12" customWidth="1"/>
    <col min="14" max="14" width="13.7109375" customWidth="1"/>
    <col min="15" max="15" width="7.7109375" customWidth="1"/>
    <col min="16" max="16" width="14.85546875" style="13" bestFit="1" customWidth="1"/>
    <col min="17" max="17" width="12" style="14" customWidth="1"/>
  </cols>
  <sheetData>
    <row r="1" spans="1:17" ht="18" x14ac:dyDescent="0.25">
      <c r="A1" s="124" t="s">
        <v>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7" ht="18" x14ac:dyDescent="0.25">
      <c r="A2" s="124" t="s">
        <v>276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7" x14ac:dyDescent="0.25">
      <c r="A3" s="126" t="s">
        <v>278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5" spans="1:17" x14ac:dyDescent="0.25">
      <c r="A5" s="1"/>
      <c r="B5" s="15" t="s">
        <v>274</v>
      </c>
      <c r="C5" s="15" t="s">
        <v>273</v>
      </c>
      <c r="D5" s="15" t="s">
        <v>272</v>
      </c>
      <c r="E5" s="15" t="s">
        <v>271</v>
      </c>
      <c r="F5" s="15" t="s">
        <v>270</v>
      </c>
      <c r="G5" s="15" t="s">
        <v>269</v>
      </c>
      <c r="H5" s="15" t="s">
        <v>268</v>
      </c>
      <c r="I5" s="15" t="s">
        <v>267</v>
      </c>
      <c r="J5" s="15" t="s">
        <v>266</v>
      </c>
      <c r="K5" s="15" t="s">
        <v>265</v>
      </c>
      <c r="L5" s="127" t="s">
        <v>0</v>
      </c>
      <c r="M5" s="128"/>
      <c r="N5" s="128"/>
      <c r="O5" s="128"/>
    </row>
    <row r="6" spans="1:17" ht="24.75" x14ac:dyDescent="0.25">
      <c r="A6" s="1"/>
      <c r="B6" s="15" t="s">
        <v>262</v>
      </c>
      <c r="C6" s="15" t="s">
        <v>262</v>
      </c>
      <c r="D6" s="15" t="s">
        <v>262</v>
      </c>
      <c r="E6" s="15" t="s">
        <v>262</v>
      </c>
      <c r="F6" s="15" t="s">
        <v>262</v>
      </c>
      <c r="G6" s="15" t="s">
        <v>262</v>
      </c>
      <c r="H6" s="15" t="s">
        <v>262</v>
      </c>
      <c r="I6" s="15" t="s">
        <v>262</v>
      </c>
      <c r="J6" s="15" t="s">
        <v>262</v>
      </c>
      <c r="K6" s="15" t="s">
        <v>262</v>
      </c>
      <c r="L6" s="20" t="s">
        <v>288</v>
      </c>
      <c r="M6" s="25" t="s">
        <v>289</v>
      </c>
      <c r="N6" s="30" t="s">
        <v>260</v>
      </c>
      <c r="O6" s="35" t="s">
        <v>259</v>
      </c>
      <c r="P6" s="40" t="s">
        <v>290</v>
      </c>
      <c r="Q6" s="44" t="s">
        <v>291</v>
      </c>
    </row>
    <row r="7" spans="1:17" x14ac:dyDescent="0.25">
      <c r="A7" s="3" t="s">
        <v>258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21"/>
      <c r="M7" s="26"/>
      <c r="N7" s="31"/>
      <c r="O7" s="36"/>
      <c r="P7" s="41"/>
      <c r="Q7" s="45"/>
    </row>
    <row r="8" spans="1:17" x14ac:dyDescent="0.25">
      <c r="A8" s="3" t="s">
        <v>257</v>
      </c>
      <c r="B8" s="16"/>
      <c r="C8" s="16"/>
      <c r="D8" s="16"/>
      <c r="E8" s="16"/>
      <c r="F8" s="17">
        <f>276.19</f>
        <v>276.19</v>
      </c>
      <c r="G8" s="16"/>
      <c r="H8" s="16"/>
      <c r="I8" s="16"/>
      <c r="J8" s="17">
        <f>248.29</f>
        <v>248.29</v>
      </c>
      <c r="K8" s="16"/>
      <c r="L8" s="22">
        <v>524.48</v>
      </c>
      <c r="M8" s="27">
        <v>0</v>
      </c>
      <c r="N8" s="32">
        <v>524.48</v>
      </c>
      <c r="O8" s="37" t="s">
        <v>287</v>
      </c>
      <c r="P8" s="41">
        <v>0</v>
      </c>
      <c r="Q8" s="45"/>
    </row>
    <row r="9" spans="1:17" x14ac:dyDescent="0.25">
      <c r="A9" s="3" t="s">
        <v>256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2">
        <v>0</v>
      </c>
      <c r="M9" s="27">
        <v>0</v>
      </c>
      <c r="N9" s="32">
        <v>0</v>
      </c>
      <c r="O9" s="37" t="s">
        <v>287</v>
      </c>
      <c r="P9" s="41">
        <v>0</v>
      </c>
      <c r="Q9" s="45"/>
    </row>
    <row r="10" spans="1:17" x14ac:dyDescent="0.25">
      <c r="A10" s="3" t="s">
        <v>255</v>
      </c>
      <c r="B10" s="17">
        <f>4.57</f>
        <v>4.57</v>
      </c>
      <c r="C10" s="17">
        <f>49.98</f>
        <v>49.98</v>
      </c>
      <c r="D10" s="17">
        <f>9.16</f>
        <v>9.16</v>
      </c>
      <c r="E10" s="16"/>
      <c r="F10" s="16"/>
      <c r="G10" s="17">
        <f>88.16</f>
        <v>88.16</v>
      </c>
      <c r="H10" s="17">
        <f>195.25</f>
        <v>195.25</v>
      </c>
      <c r="I10" s="17">
        <f>10</f>
        <v>10</v>
      </c>
      <c r="J10" s="17">
        <f>8.16</f>
        <v>8.16</v>
      </c>
      <c r="K10" s="16"/>
      <c r="L10" s="22">
        <v>365.28000000000003</v>
      </c>
      <c r="M10" s="27">
        <v>0</v>
      </c>
      <c r="N10" s="32">
        <v>365.28000000000003</v>
      </c>
      <c r="O10" s="37" t="s">
        <v>287</v>
      </c>
      <c r="P10" s="41">
        <v>0</v>
      </c>
      <c r="Q10" s="45"/>
    </row>
    <row r="11" spans="1:17" x14ac:dyDescent="0.25">
      <c r="A11" s="3" t="s">
        <v>254</v>
      </c>
      <c r="B11" s="16"/>
      <c r="C11" s="16"/>
      <c r="D11" s="16"/>
      <c r="E11" s="16"/>
      <c r="F11" s="17">
        <f>4.55</f>
        <v>4.55</v>
      </c>
      <c r="G11" s="16"/>
      <c r="H11" s="17">
        <f>9.98</f>
        <v>9.98</v>
      </c>
      <c r="I11" s="16"/>
      <c r="J11" s="17">
        <f>9.95</f>
        <v>9.9499999999999993</v>
      </c>
      <c r="K11" s="17">
        <f>9.9</f>
        <v>9.9</v>
      </c>
      <c r="L11" s="22">
        <v>34.380000000000003</v>
      </c>
      <c r="M11" s="27">
        <v>0</v>
      </c>
      <c r="N11" s="32">
        <v>34.380000000000003</v>
      </c>
      <c r="O11" s="37" t="s">
        <v>287</v>
      </c>
      <c r="P11" s="41">
        <v>0</v>
      </c>
      <c r="Q11" s="45"/>
    </row>
    <row r="12" spans="1:17" x14ac:dyDescent="0.25">
      <c r="A12" s="3" t="s">
        <v>253</v>
      </c>
      <c r="B12" s="16"/>
      <c r="C12" s="17">
        <f>482</f>
        <v>482</v>
      </c>
      <c r="D12" s="16"/>
      <c r="E12" s="17">
        <f>30.11</f>
        <v>30.11</v>
      </c>
      <c r="F12" s="17">
        <f>1026.71</f>
        <v>1026.71</v>
      </c>
      <c r="G12" s="16"/>
      <c r="H12" s="17">
        <f>60.18</f>
        <v>60.18</v>
      </c>
      <c r="I12" s="16"/>
      <c r="J12" s="17">
        <f>150</f>
        <v>150</v>
      </c>
      <c r="K12" s="16"/>
      <c r="L12" s="22">
        <v>1749.0000000000002</v>
      </c>
      <c r="M12" s="27">
        <v>0</v>
      </c>
      <c r="N12" s="32">
        <v>1749.0000000000002</v>
      </c>
      <c r="O12" s="37" t="s">
        <v>287</v>
      </c>
      <c r="P12" s="42">
        <v>0</v>
      </c>
      <c r="Q12" s="46"/>
    </row>
    <row r="13" spans="1:17" x14ac:dyDescent="0.25">
      <c r="A13" s="3" t="s">
        <v>252</v>
      </c>
      <c r="B13" s="18">
        <f t="shared" ref="B13:K13" si="0">(((B9)+(B10))+(B11))+(B12)</f>
        <v>4.57</v>
      </c>
      <c r="C13" s="18">
        <f t="shared" si="0"/>
        <v>531.98</v>
      </c>
      <c r="D13" s="18">
        <f t="shared" si="0"/>
        <v>9.16</v>
      </c>
      <c r="E13" s="18">
        <f t="shared" si="0"/>
        <v>30.11</v>
      </c>
      <c r="F13" s="18">
        <f t="shared" si="0"/>
        <v>1031.26</v>
      </c>
      <c r="G13" s="18">
        <f t="shared" si="0"/>
        <v>88.16</v>
      </c>
      <c r="H13" s="18">
        <f t="shared" si="0"/>
        <v>265.40999999999997</v>
      </c>
      <c r="I13" s="18">
        <f t="shared" si="0"/>
        <v>10</v>
      </c>
      <c r="J13" s="18">
        <f t="shared" si="0"/>
        <v>168.11</v>
      </c>
      <c r="K13" s="18">
        <f t="shared" si="0"/>
        <v>9.9</v>
      </c>
      <c r="L13" s="23">
        <v>2148.6600000000003</v>
      </c>
      <c r="M13" s="28">
        <v>0</v>
      </c>
      <c r="N13" s="33">
        <v>2148.6600000000003</v>
      </c>
      <c r="O13" s="38" t="s">
        <v>287</v>
      </c>
      <c r="P13" s="41">
        <v>0</v>
      </c>
      <c r="Q13" s="45"/>
    </row>
    <row r="14" spans="1:17" x14ac:dyDescent="0.25">
      <c r="A14" s="3" t="s">
        <v>251</v>
      </c>
      <c r="B14" s="16"/>
      <c r="C14" s="17">
        <f>248.93</f>
        <v>248.93</v>
      </c>
      <c r="D14" s="16"/>
      <c r="E14" s="17">
        <f>11129.61</f>
        <v>11129.61</v>
      </c>
      <c r="F14" s="17">
        <f>9706.75</f>
        <v>9706.75</v>
      </c>
      <c r="G14" s="16"/>
      <c r="H14" s="17">
        <f>8907.99</f>
        <v>8907.99</v>
      </c>
      <c r="I14" s="17">
        <f>4730.3</f>
        <v>4730.3</v>
      </c>
      <c r="J14" s="17">
        <f>7502</f>
        <v>7502</v>
      </c>
      <c r="K14" s="17">
        <f>5772.1</f>
        <v>5772.1</v>
      </c>
      <c r="L14" s="22">
        <v>47997.68</v>
      </c>
      <c r="M14" s="27">
        <v>70806.3</v>
      </c>
      <c r="N14" s="32">
        <v>-22808.620000000003</v>
      </c>
      <c r="O14" s="37">
        <v>0.67787301412444934</v>
      </c>
      <c r="P14" s="41">
        <v>84133</v>
      </c>
      <c r="Q14" s="45">
        <f>L14/P14</f>
        <v>0.57049766441229954</v>
      </c>
    </row>
    <row r="15" spans="1:17" x14ac:dyDescent="0.25">
      <c r="A15" s="3" t="s">
        <v>250</v>
      </c>
      <c r="B15" s="16"/>
      <c r="C15" s="16"/>
      <c r="D15" s="16"/>
      <c r="E15" s="16"/>
      <c r="F15" s="16"/>
      <c r="G15" s="16"/>
      <c r="H15" s="16"/>
      <c r="I15" s="16"/>
      <c r="J15" s="17">
        <f>-740</f>
        <v>-740</v>
      </c>
      <c r="K15" s="17">
        <f>3150</f>
        <v>3150</v>
      </c>
      <c r="L15" s="22">
        <v>2410</v>
      </c>
      <c r="M15" s="27">
        <v>0</v>
      </c>
      <c r="N15" s="32">
        <v>2410</v>
      </c>
      <c r="O15" s="37" t="s">
        <v>287</v>
      </c>
      <c r="P15" s="41">
        <v>0</v>
      </c>
      <c r="Q15" s="45"/>
    </row>
    <row r="16" spans="1:17" x14ac:dyDescent="0.25">
      <c r="A16" s="3" t="s">
        <v>249</v>
      </c>
      <c r="B16" s="16"/>
      <c r="C16" s="16"/>
      <c r="D16" s="16"/>
      <c r="E16" s="17">
        <f>8118.25</f>
        <v>8118.25</v>
      </c>
      <c r="F16" s="17">
        <f>401.81</f>
        <v>401.81</v>
      </c>
      <c r="G16" s="16"/>
      <c r="H16" s="16"/>
      <c r="I16" s="16"/>
      <c r="J16" s="16"/>
      <c r="K16" s="16"/>
      <c r="L16" s="22">
        <v>8520.06</v>
      </c>
      <c r="M16" s="27">
        <v>0</v>
      </c>
      <c r="N16" s="32">
        <v>8520.06</v>
      </c>
      <c r="O16" s="37" t="s">
        <v>287</v>
      </c>
      <c r="P16" s="41">
        <v>0</v>
      </c>
      <c r="Q16" s="45"/>
    </row>
    <row r="17" spans="1:17" x14ac:dyDescent="0.25">
      <c r="A17" s="3" t="s">
        <v>248</v>
      </c>
      <c r="B17" s="16"/>
      <c r="C17" s="16"/>
      <c r="D17" s="17">
        <f>1152.61</f>
        <v>1152.6099999999999</v>
      </c>
      <c r="E17" s="17">
        <f>4173</f>
        <v>4173</v>
      </c>
      <c r="F17" s="16"/>
      <c r="G17" s="16"/>
      <c r="H17" s="16"/>
      <c r="I17" s="16"/>
      <c r="J17" s="16"/>
      <c r="K17" s="16"/>
      <c r="L17" s="22">
        <v>5325.61</v>
      </c>
      <c r="M17" s="27">
        <v>41666.600000000006</v>
      </c>
      <c r="N17" s="32">
        <v>-36340.990000000005</v>
      </c>
      <c r="O17" s="37">
        <v>0.12781484450375119</v>
      </c>
      <c r="P17" s="41">
        <v>50000.000000000007</v>
      </c>
      <c r="Q17" s="45">
        <f t="shared" ref="Q17:Q78" si="1">L17/P17</f>
        <v>0.10651219999999997</v>
      </c>
    </row>
    <row r="18" spans="1:17" x14ac:dyDescent="0.25">
      <c r="A18" s="3" t="s">
        <v>247</v>
      </c>
      <c r="B18" s="17">
        <f>459.2</f>
        <v>459.2</v>
      </c>
      <c r="C18" s="17">
        <f>104.35</f>
        <v>104.35</v>
      </c>
      <c r="D18" s="17">
        <f>300</f>
        <v>300</v>
      </c>
      <c r="E18" s="17">
        <f>50</f>
        <v>50</v>
      </c>
      <c r="F18" s="16"/>
      <c r="G18" s="16"/>
      <c r="H18" s="16"/>
      <c r="I18" s="16"/>
      <c r="J18" s="17">
        <f>4781.38</f>
        <v>4781.38</v>
      </c>
      <c r="K18" s="16"/>
      <c r="L18" s="22">
        <v>5694.93</v>
      </c>
      <c r="M18" s="27">
        <v>0</v>
      </c>
      <c r="N18" s="32">
        <v>5694.93</v>
      </c>
      <c r="O18" s="37" t="s">
        <v>287</v>
      </c>
      <c r="P18" s="41">
        <v>0</v>
      </c>
      <c r="Q18" s="45"/>
    </row>
    <row r="19" spans="1:17" x14ac:dyDescent="0.25">
      <c r="A19" s="3" t="s">
        <v>246</v>
      </c>
      <c r="B19" s="16"/>
      <c r="C19" s="17">
        <f>216.4</f>
        <v>216.4</v>
      </c>
      <c r="D19" s="17">
        <f>20</f>
        <v>20</v>
      </c>
      <c r="E19" s="17">
        <f>1917.66</f>
        <v>1917.66</v>
      </c>
      <c r="F19" s="17">
        <f>2089</f>
        <v>2089</v>
      </c>
      <c r="G19" s="16"/>
      <c r="H19" s="16"/>
      <c r="I19" s="16"/>
      <c r="J19" s="17">
        <f>248.8</f>
        <v>248.8</v>
      </c>
      <c r="K19" s="17">
        <f>1020.88</f>
        <v>1020.88</v>
      </c>
      <c r="L19" s="22">
        <v>5512.74</v>
      </c>
      <c r="M19" s="27">
        <v>100920</v>
      </c>
      <c r="N19" s="32">
        <v>-95407.26</v>
      </c>
      <c r="O19" s="37">
        <v>5.4624851367419736E-2</v>
      </c>
      <c r="P19" s="41">
        <v>168202</v>
      </c>
      <c r="Q19" s="45">
        <f t="shared" si="1"/>
        <v>3.2774521111520669E-2</v>
      </c>
    </row>
    <row r="20" spans="1:17" x14ac:dyDescent="0.25">
      <c r="A20" s="3" t="s">
        <v>245</v>
      </c>
      <c r="B20" s="17">
        <f>24.3</f>
        <v>24.3</v>
      </c>
      <c r="C20" s="17">
        <f>50.24</f>
        <v>50.24</v>
      </c>
      <c r="D20" s="16"/>
      <c r="E20" s="17">
        <f>23.5</f>
        <v>23.5</v>
      </c>
      <c r="F20" s="17">
        <f>25.93</f>
        <v>25.93</v>
      </c>
      <c r="G20" s="17">
        <f>25.12</f>
        <v>25.12</v>
      </c>
      <c r="H20" s="17">
        <f>25.12</f>
        <v>25.12</v>
      </c>
      <c r="I20" s="17">
        <f>-109.18</f>
        <v>-109.18</v>
      </c>
      <c r="J20" s="17">
        <f>25.12</f>
        <v>25.12</v>
      </c>
      <c r="K20" s="16"/>
      <c r="L20" s="22">
        <v>90.15</v>
      </c>
      <c r="M20" s="27">
        <v>0</v>
      </c>
      <c r="N20" s="32">
        <v>90.15</v>
      </c>
      <c r="O20" s="37" t="s">
        <v>287</v>
      </c>
      <c r="P20" s="41">
        <v>0</v>
      </c>
      <c r="Q20" s="45"/>
    </row>
    <row r="21" spans="1:17" x14ac:dyDescent="0.25">
      <c r="A21" s="3" t="s">
        <v>244</v>
      </c>
      <c r="B21" s="17">
        <f>425700.99</f>
        <v>425700.99</v>
      </c>
      <c r="C21" s="17">
        <f>425700.99</f>
        <v>425700.99</v>
      </c>
      <c r="D21" s="17">
        <f>505417.41</f>
        <v>505417.41</v>
      </c>
      <c r="E21" s="17">
        <f>505417.41</f>
        <v>505417.41</v>
      </c>
      <c r="F21" s="17">
        <f>414770.93</f>
        <v>414770.93</v>
      </c>
      <c r="G21" s="17">
        <f>414770.93</f>
        <v>414770.93</v>
      </c>
      <c r="H21" s="17">
        <f>431747.45</f>
        <v>431747.45</v>
      </c>
      <c r="I21" s="17">
        <f>414770.93</f>
        <v>414770.93</v>
      </c>
      <c r="J21" s="17">
        <f>414770.93</f>
        <v>414770.93</v>
      </c>
      <c r="K21" s="17">
        <f>555856.87</f>
        <v>555856.87</v>
      </c>
      <c r="L21" s="22">
        <v>4508924.8400000008</v>
      </c>
      <c r="M21" s="27">
        <v>4317003.3</v>
      </c>
      <c r="N21" s="32">
        <v>191921.54000000097</v>
      </c>
      <c r="O21" s="37">
        <v>1.0444571214481122</v>
      </c>
      <c r="P21" s="41">
        <v>5180404</v>
      </c>
      <c r="Q21" s="45">
        <f t="shared" si="1"/>
        <v>0.87038092781952925</v>
      </c>
    </row>
    <row r="22" spans="1:17" x14ac:dyDescent="0.25">
      <c r="A22" s="3" t="s">
        <v>243</v>
      </c>
      <c r="B22" s="16"/>
      <c r="C22" s="16"/>
      <c r="D22" s="16"/>
      <c r="E22" s="16"/>
      <c r="F22" s="17">
        <f>64840.05</f>
        <v>64840.05</v>
      </c>
      <c r="G22" s="16"/>
      <c r="H22" s="17">
        <f>165200</f>
        <v>165200</v>
      </c>
      <c r="I22" s="16"/>
      <c r="J22" s="17">
        <f>39167</f>
        <v>39167</v>
      </c>
      <c r="K22" s="16"/>
      <c r="L22" s="22">
        <v>269207.05</v>
      </c>
      <c r="M22" s="27">
        <v>1296784.2</v>
      </c>
      <c r="N22" s="32">
        <v>-1027577.1499999999</v>
      </c>
      <c r="O22" s="37">
        <v>0.2075958744716353</v>
      </c>
      <c r="P22" s="42">
        <v>1556140.9999999998</v>
      </c>
      <c r="Q22" s="46">
        <f t="shared" si="1"/>
        <v>0.17299656650650552</v>
      </c>
    </row>
    <row r="23" spans="1:17" x14ac:dyDescent="0.25">
      <c r="A23" s="3" t="s">
        <v>242</v>
      </c>
      <c r="B23" s="18">
        <f t="shared" ref="B23:K23" si="2">(B21)+(B22)</f>
        <v>425700.99</v>
      </c>
      <c r="C23" s="18">
        <f t="shared" si="2"/>
        <v>425700.99</v>
      </c>
      <c r="D23" s="18">
        <f t="shared" si="2"/>
        <v>505417.41</v>
      </c>
      <c r="E23" s="18">
        <f t="shared" si="2"/>
        <v>505417.41</v>
      </c>
      <c r="F23" s="18">
        <f t="shared" si="2"/>
        <v>479610.98</v>
      </c>
      <c r="G23" s="18">
        <f t="shared" si="2"/>
        <v>414770.93</v>
      </c>
      <c r="H23" s="18">
        <f t="shared" si="2"/>
        <v>596947.44999999995</v>
      </c>
      <c r="I23" s="18">
        <f t="shared" si="2"/>
        <v>414770.93</v>
      </c>
      <c r="J23" s="18">
        <f t="shared" si="2"/>
        <v>453937.93</v>
      </c>
      <c r="K23" s="18">
        <f t="shared" si="2"/>
        <v>555856.87</v>
      </c>
      <c r="L23" s="23">
        <v>4778131.8900000006</v>
      </c>
      <c r="M23" s="28">
        <v>5613787.5</v>
      </c>
      <c r="N23" s="33">
        <v>-835655.6099999994</v>
      </c>
      <c r="O23" s="38">
        <v>0.85114227961069078</v>
      </c>
      <c r="P23" s="42">
        <v>6736545</v>
      </c>
      <c r="Q23" s="46">
        <f t="shared" si="1"/>
        <v>0.709285233008909</v>
      </c>
    </row>
    <row r="24" spans="1:17" x14ac:dyDescent="0.25">
      <c r="A24" s="3" t="s">
        <v>241</v>
      </c>
      <c r="B24" s="18">
        <f t="shared" ref="B24:K24" si="3">(((((((((B8)+(B13))+(B14))+(B15))+(B16))+(B17))+(B18))+(B19))+(B20))+(B23)</f>
        <v>426189.06</v>
      </c>
      <c r="C24" s="18">
        <f t="shared" si="3"/>
        <v>426852.89</v>
      </c>
      <c r="D24" s="18">
        <f t="shared" si="3"/>
        <v>506899.18</v>
      </c>
      <c r="E24" s="18">
        <f t="shared" si="3"/>
        <v>530859.53999999992</v>
      </c>
      <c r="F24" s="18">
        <f t="shared" si="3"/>
        <v>493141.92</v>
      </c>
      <c r="G24" s="18">
        <f t="shared" si="3"/>
        <v>414884.21</v>
      </c>
      <c r="H24" s="18">
        <f t="shared" si="3"/>
        <v>606145.97</v>
      </c>
      <c r="I24" s="18">
        <f t="shared" si="3"/>
        <v>419402.05</v>
      </c>
      <c r="J24" s="18">
        <f t="shared" si="3"/>
        <v>466171.63</v>
      </c>
      <c r="K24" s="18">
        <f t="shared" si="3"/>
        <v>565809.75</v>
      </c>
      <c r="L24" s="23">
        <v>4856356.1999999993</v>
      </c>
      <c r="M24" s="28">
        <v>5827180.4000000013</v>
      </c>
      <c r="N24" s="33">
        <v>-970824.20000000205</v>
      </c>
      <c r="O24" s="38">
        <v>0.83339726362341526</v>
      </c>
      <c r="P24" s="41">
        <v>7038880.0000000009</v>
      </c>
      <c r="Q24" s="45">
        <f t="shared" si="1"/>
        <v>0.68993308594549108</v>
      </c>
    </row>
    <row r="25" spans="1:17" x14ac:dyDescent="0.25">
      <c r="A25" s="3" t="s">
        <v>240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22">
        <v>0</v>
      </c>
      <c r="M25" s="27">
        <v>0</v>
      </c>
      <c r="N25" s="32">
        <v>0</v>
      </c>
      <c r="O25" s="37" t="s">
        <v>287</v>
      </c>
      <c r="P25" s="41">
        <v>0</v>
      </c>
      <c r="Q25" s="45"/>
    </row>
    <row r="26" spans="1:17" x14ac:dyDescent="0.25">
      <c r="A26" s="3" t="s">
        <v>239</v>
      </c>
      <c r="B26" s="17">
        <f>11024.34</f>
        <v>11024.34</v>
      </c>
      <c r="C26" s="17">
        <f>6283.2</f>
        <v>6283.2</v>
      </c>
      <c r="D26" s="17">
        <f>24820.44</f>
        <v>24820.44</v>
      </c>
      <c r="E26" s="16"/>
      <c r="F26" s="16"/>
      <c r="G26" s="16"/>
      <c r="H26" s="16"/>
      <c r="I26" s="16"/>
      <c r="J26" s="17">
        <f>13840</f>
        <v>13840</v>
      </c>
      <c r="K26" s="17">
        <f>15482.42</f>
        <v>15482.42</v>
      </c>
      <c r="L26" s="22">
        <v>71450.399999999994</v>
      </c>
      <c r="M26" s="27">
        <v>179044.19999999995</v>
      </c>
      <c r="N26" s="32">
        <v>-107593.79999999996</v>
      </c>
      <c r="O26" s="37">
        <v>0.39906570556320736</v>
      </c>
      <c r="P26" s="41">
        <v>214852.99999999994</v>
      </c>
      <c r="Q26" s="45">
        <f t="shared" si="1"/>
        <v>0.33255481654898938</v>
      </c>
    </row>
    <row r="27" spans="1:17" x14ac:dyDescent="0.25">
      <c r="A27" s="3" t="s">
        <v>238</v>
      </c>
      <c r="B27" s="16"/>
      <c r="C27" s="17">
        <f>14781.44</f>
        <v>14781.44</v>
      </c>
      <c r="D27" s="17">
        <f>33393.12</f>
        <v>33393.120000000003</v>
      </c>
      <c r="E27" s="17">
        <f>35772.57</f>
        <v>35772.57</v>
      </c>
      <c r="F27" s="17">
        <f>29893.99</f>
        <v>29893.99</v>
      </c>
      <c r="G27" s="17">
        <f>117239.76</f>
        <v>117239.76</v>
      </c>
      <c r="H27" s="17">
        <f>36129.43</f>
        <v>36129.43</v>
      </c>
      <c r="I27" s="17">
        <f>85739.33</f>
        <v>85739.33</v>
      </c>
      <c r="J27" s="17">
        <f>34103.82</f>
        <v>34103.82</v>
      </c>
      <c r="K27" s="17">
        <f>29319.51</f>
        <v>29319.51</v>
      </c>
      <c r="L27" s="22">
        <v>416372.97000000003</v>
      </c>
      <c r="M27" s="27">
        <v>283408.2900000001</v>
      </c>
      <c r="N27" s="32">
        <v>132964.67999999993</v>
      </c>
      <c r="O27" s="37">
        <v>1.4691629874341356</v>
      </c>
      <c r="P27" s="42">
        <v>340090.00000000006</v>
      </c>
      <c r="Q27" s="46">
        <f t="shared" si="1"/>
        <v>1.2243023023317356</v>
      </c>
    </row>
    <row r="28" spans="1:17" x14ac:dyDescent="0.25">
      <c r="A28" s="3" t="s">
        <v>237</v>
      </c>
      <c r="B28" s="18">
        <f t="shared" ref="B28:K28" si="4">((B25)+(B26))+(B27)</f>
        <v>11024.34</v>
      </c>
      <c r="C28" s="18">
        <f t="shared" si="4"/>
        <v>21064.639999999999</v>
      </c>
      <c r="D28" s="18">
        <f t="shared" si="4"/>
        <v>58213.56</v>
      </c>
      <c r="E28" s="18">
        <f t="shared" si="4"/>
        <v>35772.57</v>
      </c>
      <c r="F28" s="18">
        <f t="shared" si="4"/>
        <v>29893.99</v>
      </c>
      <c r="G28" s="18">
        <f t="shared" si="4"/>
        <v>117239.76</v>
      </c>
      <c r="H28" s="18">
        <f t="shared" si="4"/>
        <v>36129.43</v>
      </c>
      <c r="I28" s="18">
        <f t="shared" si="4"/>
        <v>85739.33</v>
      </c>
      <c r="J28" s="18">
        <f t="shared" si="4"/>
        <v>47943.82</v>
      </c>
      <c r="K28" s="18">
        <f t="shared" si="4"/>
        <v>44801.93</v>
      </c>
      <c r="L28" s="23">
        <v>487823.37</v>
      </c>
      <c r="M28" s="28">
        <v>462452.49</v>
      </c>
      <c r="N28" s="33">
        <v>25370.880000000005</v>
      </c>
      <c r="O28" s="38">
        <v>1.054861592376765</v>
      </c>
      <c r="P28" s="41">
        <v>554943</v>
      </c>
      <c r="Q28" s="45">
        <f t="shared" si="1"/>
        <v>0.87905130797217013</v>
      </c>
    </row>
    <row r="29" spans="1:17" x14ac:dyDescent="0.25">
      <c r="A29" s="3" t="s">
        <v>236</v>
      </c>
      <c r="B29" s="16"/>
      <c r="C29" s="16"/>
      <c r="D29" s="16"/>
      <c r="E29" s="16"/>
      <c r="F29" s="16"/>
      <c r="G29" s="16"/>
      <c r="H29" s="16"/>
      <c r="I29" s="17">
        <f>180</f>
        <v>180</v>
      </c>
      <c r="J29" s="16"/>
      <c r="K29" s="16"/>
      <c r="L29" s="22">
        <v>180</v>
      </c>
      <c r="M29" s="27">
        <v>0</v>
      </c>
      <c r="N29" s="32">
        <v>180</v>
      </c>
      <c r="O29" s="37" t="s">
        <v>287</v>
      </c>
      <c r="P29" s="42">
        <v>0</v>
      </c>
      <c r="Q29" s="46"/>
    </row>
    <row r="30" spans="1:17" x14ac:dyDescent="0.25">
      <c r="A30" s="3" t="s">
        <v>235</v>
      </c>
      <c r="B30" s="18">
        <f t="shared" ref="B30:K30" si="5">((B24)+(B28))+(B29)</f>
        <v>437213.4</v>
      </c>
      <c r="C30" s="18">
        <f t="shared" si="5"/>
        <v>447917.53</v>
      </c>
      <c r="D30" s="18">
        <f t="shared" si="5"/>
        <v>565112.74</v>
      </c>
      <c r="E30" s="18">
        <f t="shared" si="5"/>
        <v>566632.10999999987</v>
      </c>
      <c r="F30" s="18">
        <f t="shared" si="5"/>
        <v>523035.91</v>
      </c>
      <c r="G30" s="18">
        <f t="shared" si="5"/>
        <v>532123.97</v>
      </c>
      <c r="H30" s="18">
        <f t="shared" si="5"/>
        <v>642275.4</v>
      </c>
      <c r="I30" s="18">
        <f t="shared" si="5"/>
        <v>505321.38</v>
      </c>
      <c r="J30" s="18">
        <f t="shared" si="5"/>
        <v>514115.45</v>
      </c>
      <c r="K30" s="18">
        <f t="shared" si="5"/>
        <v>610611.68000000005</v>
      </c>
      <c r="L30" s="23">
        <v>5344359.57</v>
      </c>
      <c r="M30" s="28">
        <v>6289632.8900000006</v>
      </c>
      <c r="N30" s="33">
        <v>-945273.3200000003</v>
      </c>
      <c r="O30" s="38">
        <v>0.84970930155511826</v>
      </c>
      <c r="P30" s="41">
        <v>7593823</v>
      </c>
      <c r="Q30" s="45">
        <f t="shared" si="1"/>
        <v>0.70377721076722488</v>
      </c>
    </row>
    <row r="31" spans="1:17" x14ac:dyDescent="0.25">
      <c r="A31" s="3" t="s">
        <v>234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21"/>
      <c r="M31" s="26"/>
      <c r="N31" s="31"/>
      <c r="O31" s="36"/>
      <c r="P31" s="41"/>
      <c r="Q31" s="45"/>
    </row>
    <row r="32" spans="1:17" x14ac:dyDescent="0.25">
      <c r="A32" s="3" t="s">
        <v>233</v>
      </c>
      <c r="B32" s="16"/>
      <c r="C32" s="16"/>
      <c r="D32" s="16"/>
      <c r="E32" s="16"/>
      <c r="F32" s="16"/>
      <c r="G32" s="16"/>
      <c r="H32" s="16"/>
      <c r="I32" s="16"/>
      <c r="J32" s="16"/>
      <c r="K32" s="17">
        <f>7041.96</f>
        <v>7041.96</v>
      </c>
      <c r="L32" s="22">
        <v>7041.96</v>
      </c>
      <c r="M32" s="27">
        <v>0</v>
      </c>
      <c r="N32" s="32">
        <v>7041.96</v>
      </c>
      <c r="O32" s="37" t="s">
        <v>287</v>
      </c>
      <c r="P32" s="42">
        <v>0</v>
      </c>
      <c r="Q32" s="46"/>
    </row>
    <row r="33" spans="1:17" x14ac:dyDescent="0.25">
      <c r="A33" s="3" t="s">
        <v>232</v>
      </c>
      <c r="B33" s="18">
        <f t="shared" ref="B33:K33" si="6">B32</f>
        <v>0</v>
      </c>
      <c r="C33" s="18">
        <f t="shared" si="6"/>
        <v>0</v>
      </c>
      <c r="D33" s="18">
        <f t="shared" si="6"/>
        <v>0</v>
      </c>
      <c r="E33" s="18">
        <f t="shared" si="6"/>
        <v>0</v>
      </c>
      <c r="F33" s="18">
        <f t="shared" si="6"/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7041.96</v>
      </c>
      <c r="L33" s="23">
        <v>7041.96</v>
      </c>
      <c r="M33" s="28">
        <v>0</v>
      </c>
      <c r="N33" s="33">
        <v>7041.96</v>
      </c>
      <c r="O33" s="38" t="s">
        <v>287</v>
      </c>
      <c r="P33" s="42">
        <v>0</v>
      </c>
      <c r="Q33" s="46"/>
    </row>
    <row r="34" spans="1:17" x14ac:dyDescent="0.25">
      <c r="A34" s="3" t="s">
        <v>231</v>
      </c>
      <c r="B34" s="18">
        <f t="shared" ref="B34:K34" si="7">(B30)-(B33)</f>
        <v>437213.4</v>
      </c>
      <c r="C34" s="18">
        <f t="shared" si="7"/>
        <v>447917.53</v>
      </c>
      <c r="D34" s="18">
        <f t="shared" si="7"/>
        <v>565112.74</v>
      </c>
      <c r="E34" s="18">
        <f t="shared" si="7"/>
        <v>566632.10999999987</v>
      </c>
      <c r="F34" s="18">
        <f t="shared" si="7"/>
        <v>523035.91</v>
      </c>
      <c r="G34" s="18">
        <f t="shared" si="7"/>
        <v>532123.97</v>
      </c>
      <c r="H34" s="18">
        <f t="shared" si="7"/>
        <v>642275.4</v>
      </c>
      <c r="I34" s="18">
        <f t="shared" si="7"/>
        <v>505321.38</v>
      </c>
      <c r="J34" s="18">
        <f t="shared" si="7"/>
        <v>514115.45</v>
      </c>
      <c r="K34" s="18">
        <f t="shared" si="7"/>
        <v>603569.72000000009</v>
      </c>
      <c r="L34" s="23">
        <v>5337317.6100000003</v>
      </c>
      <c r="M34" s="28">
        <v>6289632.8900000006</v>
      </c>
      <c r="N34" s="33">
        <v>-952315.28000000026</v>
      </c>
      <c r="O34" s="38">
        <v>0.84858968772023191</v>
      </c>
      <c r="P34" s="41">
        <v>7593823</v>
      </c>
      <c r="Q34" s="45">
        <f t="shared" si="1"/>
        <v>0.70284988338548327</v>
      </c>
    </row>
    <row r="35" spans="1:17" x14ac:dyDescent="0.25">
      <c r="A35" s="3" t="s">
        <v>230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1"/>
      <c r="M35" s="26"/>
      <c r="N35" s="31"/>
      <c r="O35" s="36"/>
      <c r="P35" s="41"/>
      <c r="Q35" s="45"/>
    </row>
    <row r="36" spans="1:17" x14ac:dyDescent="0.25">
      <c r="A36" s="3" t="s">
        <v>229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22">
        <v>0</v>
      </c>
      <c r="M36" s="27">
        <v>0</v>
      </c>
      <c r="N36" s="32">
        <v>0</v>
      </c>
      <c r="O36" s="37" t="s">
        <v>287</v>
      </c>
      <c r="P36" s="41">
        <v>0</v>
      </c>
      <c r="Q36" s="45"/>
    </row>
    <row r="37" spans="1:17" x14ac:dyDescent="0.25">
      <c r="A37" s="3" t="s">
        <v>228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22">
        <v>0</v>
      </c>
      <c r="M37" s="27">
        <v>430394.1999999999</v>
      </c>
      <c r="N37" s="32">
        <v>-430394.1999999999</v>
      </c>
      <c r="O37" s="37">
        <v>0</v>
      </c>
      <c r="P37" s="41">
        <v>516472.99999999994</v>
      </c>
      <c r="Q37" s="45">
        <f t="shared" si="1"/>
        <v>0</v>
      </c>
    </row>
    <row r="38" spans="1:17" x14ac:dyDescent="0.25">
      <c r="A38" s="3" t="s">
        <v>227</v>
      </c>
      <c r="B38" s="17">
        <f>283540.28</f>
        <v>283540.28000000003</v>
      </c>
      <c r="C38" s="17">
        <f>167247.79</f>
        <v>167247.79</v>
      </c>
      <c r="D38" s="17">
        <f>193560.6</f>
        <v>193560.6</v>
      </c>
      <c r="E38" s="17">
        <f>191190.92</f>
        <v>191190.92</v>
      </c>
      <c r="F38" s="17">
        <f>182418.18</f>
        <v>182418.18</v>
      </c>
      <c r="G38" s="17">
        <f>182989.36</f>
        <v>182989.36</v>
      </c>
      <c r="H38" s="17">
        <f>302417.63</f>
        <v>302417.63</v>
      </c>
      <c r="I38" s="17">
        <f>167948.48</f>
        <v>167948.48</v>
      </c>
      <c r="J38" s="17">
        <f>218968.86</f>
        <v>218968.86</v>
      </c>
      <c r="K38" s="17">
        <f>165204.58</f>
        <v>165204.57999999999</v>
      </c>
      <c r="L38" s="22">
        <v>2055486.6799999997</v>
      </c>
      <c r="M38" s="27">
        <v>1945074.8400000003</v>
      </c>
      <c r="N38" s="32">
        <v>110411.83999999939</v>
      </c>
      <c r="O38" s="37">
        <v>1.0567648286479296</v>
      </c>
      <c r="P38" s="41">
        <v>2336539.0000000005</v>
      </c>
      <c r="Q38" s="45">
        <f t="shared" si="1"/>
        <v>0.87971426113580786</v>
      </c>
    </row>
    <row r="39" spans="1:17" x14ac:dyDescent="0.25">
      <c r="A39" s="3" t="s">
        <v>226</v>
      </c>
      <c r="B39" s="16"/>
      <c r="C39" s="16"/>
      <c r="D39" s="16"/>
      <c r="E39" s="16"/>
      <c r="F39" s="16"/>
      <c r="G39" s="16"/>
      <c r="H39" s="17">
        <f>12616.27</f>
        <v>12616.27</v>
      </c>
      <c r="I39" s="17">
        <f>6931.36</f>
        <v>6931.36</v>
      </c>
      <c r="J39" s="17">
        <f>8014.2</f>
        <v>8014.2</v>
      </c>
      <c r="K39" s="17">
        <f>6927.02</f>
        <v>6927.02</v>
      </c>
      <c r="L39" s="22">
        <v>34488.850000000006</v>
      </c>
      <c r="M39" s="27">
        <v>154355</v>
      </c>
      <c r="N39" s="32">
        <v>-119866.15</v>
      </c>
      <c r="O39" s="37">
        <v>0.22343850215412528</v>
      </c>
      <c r="P39" s="41">
        <v>185226</v>
      </c>
      <c r="Q39" s="45">
        <f t="shared" si="1"/>
        <v>0.18619875179510439</v>
      </c>
    </row>
    <row r="40" spans="1:17" x14ac:dyDescent="0.25">
      <c r="A40" s="3" t="s">
        <v>225</v>
      </c>
      <c r="B40" s="16"/>
      <c r="C40" s="17">
        <f>8205</f>
        <v>8205</v>
      </c>
      <c r="D40" s="17">
        <f>21430</f>
        <v>21430</v>
      </c>
      <c r="E40" s="17">
        <f>12920</f>
        <v>12920</v>
      </c>
      <c r="F40" s="17">
        <f>5150</f>
        <v>5150</v>
      </c>
      <c r="G40" s="17">
        <f>13640</f>
        <v>13640</v>
      </c>
      <c r="H40" s="17">
        <f>18018.5</f>
        <v>18018.5</v>
      </c>
      <c r="I40" s="17">
        <f>16415</f>
        <v>16415</v>
      </c>
      <c r="J40" s="17">
        <f>16815</f>
        <v>16815</v>
      </c>
      <c r="K40" s="17">
        <f>10585</f>
        <v>10585</v>
      </c>
      <c r="L40" s="22">
        <v>123178.5</v>
      </c>
      <c r="M40" s="27">
        <v>93721.60000000002</v>
      </c>
      <c r="N40" s="32">
        <v>29456.89999999998</v>
      </c>
      <c r="O40" s="37">
        <v>1.3143021459300734</v>
      </c>
      <c r="P40" s="41">
        <v>112466.00000000001</v>
      </c>
      <c r="Q40" s="45">
        <f t="shared" si="1"/>
        <v>1.0952510091938896</v>
      </c>
    </row>
    <row r="41" spans="1:17" x14ac:dyDescent="0.25">
      <c r="A41" s="3" t="s">
        <v>224</v>
      </c>
      <c r="B41" s="16"/>
      <c r="C41" s="16"/>
      <c r="D41" s="16"/>
      <c r="E41" s="16"/>
      <c r="F41" s="17">
        <f>4920</f>
        <v>4920</v>
      </c>
      <c r="G41" s="17">
        <f>3495</f>
        <v>3495</v>
      </c>
      <c r="H41" s="17">
        <f>4080.68</f>
        <v>4080.68</v>
      </c>
      <c r="I41" s="17">
        <f>4977.5</f>
        <v>4977.5</v>
      </c>
      <c r="J41" s="17">
        <f>6240</f>
        <v>6240</v>
      </c>
      <c r="K41" s="17">
        <f>4427.4</f>
        <v>4427.3999999999996</v>
      </c>
      <c r="L41" s="22">
        <v>28140.58</v>
      </c>
      <c r="M41" s="27">
        <v>30856.6</v>
      </c>
      <c r="N41" s="32">
        <v>-2716.0199999999968</v>
      </c>
      <c r="O41" s="37">
        <v>0.91197928482075152</v>
      </c>
      <c r="P41" s="41">
        <v>37027.999999999993</v>
      </c>
      <c r="Q41" s="45">
        <f t="shared" si="1"/>
        <v>0.75998109538727465</v>
      </c>
    </row>
    <row r="42" spans="1:17" x14ac:dyDescent="0.25">
      <c r="A42" s="3" t="s">
        <v>223</v>
      </c>
      <c r="B42" s="17">
        <f>12200</f>
        <v>12200</v>
      </c>
      <c r="C42" s="17">
        <f>10800</f>
        <v>10800</v>
      </c>
      <c r="D42" s="17">
        <f>10800</f>
        <v>10800</v>
      </c>
      <c r="E42" s="17">
        <f>10800</f>
        <v>10800</v>
      </c>
      <c r="F42" s="17">
        <f>10800</f>
        <v>10800</v>
      </c>
      <c r="G42" s="17">
        <f>10800</f>
        <v>10800</v>
      </c>
      <c r="H42" s="17">
        <f>24101.43</f>
        <v>24101.43</v>
      </c>
      <c r="I42" s="17">
        <f>16321.5</f>
        <v>16321.5</v>
      </c>
      <c r="J42" s="17">
        <f>24210.88</f>
        <v>24210.880000000001</v>
      </c>
      <c r="K42" s="17">
        <f>16321.5</f>
        <v>16321.5</v>
      </c>
      <c r="L42" s="22">
        <v>147155.31</v>
      </c>
      <c r="M42" s="27">
        <v>114059.2</v>
      </c>
      <c r="N42" s="32">
        <v>33096.11</v>
      </c>
      <c r="O42" s="37">
        <v>1.2901660716540182</v>
      </c>
      <c r="P42" s="41">
        <v>136871</v>
      </c>
      <c r="Q42" s="45">
        <f t="shared" si="1"/>
        <v>1.0751387072498921</v>
      </c>
    </row>
    <row r="43" spans="1:17" x14ac:dyDescent="0.25">
      <c r="A43" s="3" t="s">
        <v>222</v>
      </c>
      <c r="B43" s="17">
        <f>5000</f>
        <v>5000</v>
      </c>
      <c r="C43" s="17">
        <f>5000</f>
        <v>5000</v>
      </c>
      <c r="D43" s="17">
        <f>5000</f>
        <v>5000</v>
      </c>
      <c r="E43" s="17">
        <f>6250</f>
        <v>6250</v>
      </c>
      <c r="F43" s="17">
        <f>4500</f>
        <v>4500</v>
      </c>
      <c r="G43" s="17">
        <f>5000</f>
        <v>5000</v>
      </c>
      <c r="H43" s="16"/>
      <c r="I43" s="16"/>
      <c r="J43" s="16"/>
      <c r="K43" s="17">
        <f>4166.66</f>
        <v>4166.66</v>
      </c>
      <c r="L43" s="22">
        <v>34916.660000000003</v>
      </c>
      <c r="M43" s="27">
        <v>24583.300000000003</v>
      </c>
      <c r="N43" s="32">
        <v>10333.36</v>
      </c>
      <c r="O43" s="37">
        <v>1.4203406377500172</v>
      </c>
      <c r="P43" s="41">
        <v>29500.000000000004</v>
      </c>
      <c r="Q43" s="45">
        <f t="shared" si="1"/>
        <v>1.1836155932203389</v>
      </c>
    </row>
    <row r="44" spans="1:17" x14ac:dyDescent="0.25">
      <c r="A44" s="3" t="s">
        <v>221</v>
      </c>
      <c r="B44" s="16"/>
      <c r="C44" s="16"/>
      <c r="D44" s="16"/>
      <c r="E44" s="16"/>
      <c r="F44" s="16"/>
      <c r="G44" s="16"/>
      <c r="H44" s="17">
        <f>1321.02</f>
        <v>1321.02</v>
      </c>
      <c r="I44" s="16"/>
      <c r="J44" s="17">
        <f>1321.02</f>
        <v>1321.02</v>
      </c>
      <c r="K44" s="17">
        <f>859.52</f>
        <v>859.52</v>
      </c>
      <c r="L44" s="22">
        <v>3501.56</v>
      </c>
      <c r="M44" s="27">
        <v>0</v>
      </c>
      <c r="N44" s="32">
        <v>3501.56</v>
      </c>
      <c r="O44" s="37" t="s">
        <v>287</v>
      </c>
      <c r="P44" s="41">
        <v>0</v>
      </c>
      <c r="Q44" s="45"/>
    </row>
    <row r="45" spans="1:17" x14ac:dyDescent="0.25">
      <c r="A45" s="3" t="s">
        <v>220</v>
      </c>
      <c r="B45" s="17">
        <f>32711</f>
        <v>32711</v>
      </c>
      <c r="C45" s="17">
        <f>28177.5</f>
        <v>28177.5</v>
      </c>
      <c r="D45" s="17">
        <f>29147.7</f>
        <v>29147.7</v>
      </c>
      <c r="E45" s="17">
        <f>33245.46</f>
        <v>33245.46</v>
      </c>
      <c r="F45" s="17">
        <f>28961.98</f>
        <v>28961.98</v>
      </c>
      <c r="G45" s="17">
        <f>26338</f>
        <v>26338</v>
      </c>
      <c r="H45" s="17">
        <f>37754.89</f>
        <v>37754.89</v>
      </c>
      <c r="I45" s="17">
        <f>787.46</f>
        <v>787.46</v>
      </c>
      <c r="J45" s="17">
        <f>34537.81</f>
        <v>34537.81</v>
      </c>
      <c r="K45" s="17">
        <f>25860.38</f>
        <v>25860.38</v>
      </c>
      <c r="L45" s="22">
        <v>277522.18</v>
      </c>
      <c r="M45" s="27">
        <v>386250</v>
      </c>
      <c r="N45" s="32">
        <v>-108727.82</v>
      </c>
      <c r="O45" s="37">
        <v>0.71850402588996765</v>
      </c>
      <c r="P45" s="41">
        <v>463500</v>
      </c>
      <c r="Q45" s="45">
        <f t="shared" si="1"/>
        <v>0.59875335490830639</v>
      </c>
    </row>
    <row r="46" spans="1:17" x14ac:dyDescent="0.25">
      <c r="A46" s="3" t="s">
        <v>219</v>
      </c>
      <c r="B46" s="17">
        <f>7295.42</f>
        <v>7295.42</v>
      </c>
      <c r="C46" s="17">
        <f>5480.76</f>
        <v>5480.76</v>
      </c>
      <c r="D46" s="17">
        <f>6486.97</f>
        <v>6486.97</v>
      </c>
      <c r="E46" s="17">
        <f>6062.32</f>
        <v>6062.32</v>
      </c>
      <c r="F46" s="17">
        <f>7170.9</f>
        <v>7170.9</v>
      </c>
      <c r="G46" s="17">
        <f>7673.32</f>
        <v>7673.32</v>
      </c>
      <c r="H46" s="17">
        <f>10200.6</f>
        <v>10200.6</v>
      </c>
      <c r="I46" s="17">
        <f>6119.57</f>
        <v>6119.57</v>
      </c>
      <c r="J46" s="17">
        <f>7790.47</f>
        <v>7790.47</v>
      </c>
      <c r="K46" s="17">
        <f>-30256.18</f>
        <v>-30256.18</v>
      </c>
      <c r="L46" s="22">
        <v>34024.15</v>
      </c>
      <c r="M46" s="27">
        <v>52744.19999999999</v>
      </c>
      <c r="N46" s="32">
        <v>-18720.049999999988</v>
      </c>
      <c r="O46" s="37">
        <v>0.64507851100215774</v>
      </c>
      <c r="P46" s="41">
        <v>63292.999999999993</v>
      </c>
      <c r="Q46" s="45">
        <f t="shared" si="1"/>
        <v>0.53756576556649238</v>
      </c>
    </row>
    <row r="47" spans="1:17" x14ac:dyDescent="0.25">
      <c r="A47" s="3" t="s">
        <v>218</v>
      </c>
      <c r="B47" s="17">
        <f>49887.19</f>
        <v>49887.19</v>
      </c>
      <c r="C47" s="17">
        <f>92454.95</f>
        <v>92454.95</v>
      </c>
      <c r="D47" s="17">
        <f>45909.21</f>
        <v>45909.21</v>
      </c>
      <c r="E47" s="17">
        <f>44742.44</f>
        <v>44742.44</v>
      </c>
      <c r="F47" s="17">
        <f>27837.87</f>
        <v>27837.87</v>
      </c>
      <c r="G47" s="17">
        <f>43398.01</f>
        <v>43398.01</v>
      </c>
      <c r="H47" s="17">
        <f>47148.03</f>
        <v>47148.03</v>
      </c>
      <c r="I47" s="17">
        <f>37749.79</f>
        <v>37749.79</v>
      </c>
      <c r="J47" s="17">
        <f>39741.38</f>
        <v>39741.379999999997</v>
      </c>
      <c r="K47" s="17">
        <f>53383.95</f>
        <v>53383.95</v>
      </c>
      <c r="L47" s="22">
        <v>482252.81999999995</v>
      </c>
      <c r="M47" s="27">
        <v>588650.80000000005</v>
      </c>
      <c r="N47" s="32">
        <v>-106397.9800000001</v>
      </c>
      <c r="O47" s="37">
        <v>0.8192511077875031</v>
      </c>
      <c r="P47" s="41">
        <v>706381</v>
      </c>
      <c r="Q47" s="45">
        <f t="shared" si="1"/>
        <v>0.6827092178300378</v>
      </c>
    </row>
    <row r="48" spans="1:17" x14ac:dyDescent="0.25">
      <c r="A48" s="3" t="s">
        <v>217</v>
      </c>
      <c r="B48" s="17">
        <f>1654.11</f>
        <v>1654.11</v>
      </c>
      <c r="C48" s="17">
        <f>1009.25</f>
        <v>1009.25</v>
      </c>
      <c r="D48" s="17">
        <f>1576.74</f>
        <v>1576.74</v>
      </c>
      <c r="E48" s="17">
        <f>1545.26</f>
        <v>1545.26</v>
      </c>
      <c r="F48" s="17">
        <f>1070.33</f>
        <v>1070.33</v>
      </c>
      <c r="G48" s="17">
        <f>1089.32</f>
        <v>1089.32</v>
      </c>
      <c r="H48" s="17">
        <f>1793.49</f>
        <v>1793.49</v>
      </c>
      <c r="I48" s="17">
        <f>1220.03</f>
        <v>1220.03</v>
      </c>
      <c r="J48" s="17">
        <f>2235.03</f>
        <v>2235.0300000000002</v>
      </c>
      <c r="K48" s="17">
        <f>1981.95</f>
        <v>1981.95</v>
      </c>
      <c r="L48" s="22">
        <v>15175.510000000002</v>
      </c>
      <c r="M48" s="27">
        <v>16666.7</v>
      </c>
      <c r="N48" s="32">
        <v>-1491.1899999999987</v>
      </c>
      <c r="O48" s="37">
        <v>0.91052877894244222</v>
      </c>
      <c r="P48" s="41">
        <v>20000.000000000004</v>
      </c>
      <c r="Q48" s="45">
        <f t="shared" si="1"/>
        <v>0.75877549999999994</v>
      </c>
    </row>
    <row r="49" spans="1:17" x14ac:dyDescent="0.25">
      <c r="A49" s="3" t="s">
        <v>216</v>
      </c>
      <c r="B49" s="17">
        <f>2258.18</f>
        <v>2258.1799999999998</v>
      </c>
      <c r="C49" s="17">
        <f>1632.2</f>
        <v>1632.2</v>
      </c>
      <c r="D49" s="17">
        <f>2940.17</f>
        <v>2940.17</v>
      </c>
      <c r="E49" s="17">
        <f>1321.02</f>
        <v>1321.02</v>
      </c>
      <c r="F49" s="17">
        <f>1321.02</f>
        <v>1321.02</v>
      </c>
      <c r="G49" s="17">
        <f>1977.02</f>
        <v>1977.02</v>
      </c>
      <c r="H49" s="16"/>
      <c r="I49" s="17">
        <f>1571.15</f>
        <v>1571.15</v>
      </c>
      <c r="J49" s="17">
        <f>328</f>
        <v>328</v>
      </c>
      <c r="K49" s="17">
        <f>328</f>
        <v>328</v>
      </c>
      <c r="L49" s="22">
        <v>13676.76</v>
      </c>
      <c r="M49" s="27">
        <v>0</v>
      </c>
      <c r="N49" s="32">
        <v>13676.76</v>
      </c>
      <c r="O49" s="37" t="s">
        <v>287</v>
      </c>
      <c r="P49" s="41">
        <v>0</v>
      </c>
      <c r="Q49" s="45"/>
    </row>
    <row r="50" spans="1:17" x14ac:dyDescent="0.25">
      <c r="A50" s="3" t="s">
        <v>215</v>
      </c>
      <c r="B50" s="17">
        <f>10576.67</f>
        <v>10576.67</v>
      </c>
      <c r="C50" s="17">
        <f>11333.9</f>
        <v>11333.9</v>
      </c>
      <c r="D50" s="17">
        <f>3251.82</f>
        <v>3251.82</v>
      </c>
      <c r="E50" s="17">
        <f>2044.24</f>
        <v>2044.24</v>
      </c>
      <c r="F50" s="17">
        <f>161.69</f>
        <v>161.69</v>
      </c>
      <c r="G50" s="17">
        <f>677.47</f>
        <v>677.47</v>
      </c>
      <c r="H50" s="17">
        <f>2363.29</f>
        <v>2363.29</v>
      </c>
      <c r="I50" s="17">
        <f>6194.34</f>
        <v>6194.34</v>
      </c>
      <c r="J50" s="17">
        <f>2781.16</f>
        <v>2781.16</v>
      </c>
      <c r="K50" s="17">
        <f>3122.47</f>
        <v>3122.47</v>
      </c>
      <c r="L50" s="22">
        <v>42507.05</v>
      </c>
      <c r="M50" s="27">
        <v>58333.000000000007</v>
      </c>
      <c r="N50" s="32">
        <v>-15825.950000000004</v>
      </c>
      <c r="O50" s="37">
        <v>0.72869644969399816</v>
      </c>
      <c r="P50" s="41">
        <v>145333</v>
      </c>
      <c r="Q50" s="45">
        <f t="shared" si="1"/>
        <v>0.2924803726614052</v>
      </c>
    </row>
    <row r="51" spans="1:17" x14ac:dyDescent="0.25">
      <c r="A51" s="3" t="s">
        <v>214</v>
      </c>
      <c r="B51" s="16"/>
      <c r="C51" s="16"/>
      <c r="D51" s="16"/>
      <c r="E51" s="16"/>
      <c r="F51" s="16"/>
      <c r="G51" s="16"/>
      <c r="H51" s="16"/>
      <c r="I51" s="17">
        <f>262.15</f>
        <v>262.14999999999998</v>
      </c>
      <c r="J51" s="16"/>
      <c r="K51" s="16"/>
      <c r="L51" s="22">
        <v>262.14999999999998</v>
      </c>
      <c r="M51" s="27">
        <v>4333.3</v>
      </c>
      <c r="N51" s="32">
        <v>-4071.15</v>
      </c>
      <c r="O51" s="37">
        <v>6.0496619204763104E-2</v>
      </c>
      <c r="P51" s="41">
        <v>5200</v>
      </c>
      <c r="Q51" s="45">
        <f t="shared" si="1"/>
        <v>5.0413461538461532E-2</v>
      </c>
    </row>
    <row r="52" spans="1:17" x14ac:dyDescent="0.25">
      <c r="A52" s="3" t="s">
        <v>213</v>
      </c>
      <c r="B52" s="16"/>
      <c r="C52" s="17">
        <f>2051.93</f>
        <v>2051.9299999999998</v>
      </c>
      <c r="D52" s="17">
        <f>14841.95</f>
        <v>14841.95</v>
      </c>
      <c r="E52" s="17">
        <f>2292.6</f>
        <v>2292.6</v>
      </c>
      <c r="F52" s="16"/>
      <c r="G52" s="17">
        <f>580.89</f>
        <v>580.89</v>
      </c>
      <c r="H52" s="17">
        <f>50</f>
        <v>50</v>
      </c>
      <c r="I52" s="17">
        <f>3724.54</f>
        <v>3724.54</v>
      </c>
      <c r="J52" s="16"/>
      <c r="K52" s="17">
        <f>1933.83</f>
        <v>1933.83</v>
      </c>
      <c r="L52" s="22">
        <v>25475.739999999998</v>
      </c>
      <c r="M52" s="27">
        <v>25000</v>
      </c>
      <c r="N52" s="32">
        <v>475.73999999999796</v>
      </c>
      <c r="O52" s="37">
        <v>1.0190295999999999</v>
      </c>
      <c r="P52" s="41">
        <v>30000</v>
      </c>
      <c r="Q52" s="45">
        <f t="shared" si="1"/>
        <v>0.8491913333333333</v>
      </c>
    </row>
    <row r="53" spans="1:17" x14ac:dyDescent="0.25">
      <c r="A53" s="3" t="s">
        <v>212</v>
      </c>
      <c r="B53" s="16"/>
      <c r="C53" s="16"/>
      <c r="D53" s="16"/>
      <c r="E53" s="16"/>
      <c r="F53" s="16"/>
      <c r="G53" s="16"/>
      <c r="H53" s="17">
        <f>165.26</f>
        <v>165.26</v>
      </c>
      <c r="I53" s="16"/>
      <c r="J53" s="16"/>
      <c r="K53" s="17">
        <f>105.39</f>
        <v>105.39</v>
      </c>
      <c r="L53" s="22">
        <v>270.64999999999998</v>
      </c>
      <c r="M53" s="27">
        <v>8333.3000000000011</v>
      </c>
      <c r="N53" s="32">
        <v>-8062.6500000000015</v>
      </c>
      <c r="O53" s="37">
        <v>3.2478129912519645E-2</v>
      </c>
      <c r="P53" s="41">
        <v>10000.000000000002</v>
      </c>
      <c r="Q53" s="45">
        <f t="shared" si="1"/>
        <v>2.7064999999999992E-2</v>
      </c>
    </row>
    <row r="54" spans="1:17" x14ac:dyDescent="0.25">
      <c r="A54" s="3" t="s">
        <v>211</v>
      </c>
      <c r="B54" s="16"/>
      <c r="C54" s="16"/>
      <c r="D54" s="16"/>
      <c r="E54" s="16"/>
      <c r="F54" s="16"/>
      <c r="G54" s="16"/>
      <c r="H54" s="16"/>
      <c r="I54" s="16"/>
      <c r="J54" s="16"/>
      <c r="K54" s="17">
        <f>252.06</f>
        <v>252.06</v>
      </c>
      <c r="L54" s="22">
        <v>252.06</v>
      </c>
      <c r="M54" s="27">
        <v>25000</v>
      </c>
      <c r="N54" s="32">
        <v>-24747.94</v>
      </c>
      <c r="O54" s="37">
        <v>1.00824E-2</v>
      </c>
      <c r="P54" s="41">
        <v>30000</v>
      </c>
      <c r="Q54" s="45">
        <f t="shared" si="1"/>
        <v>8.4019999999999997E-3</v>
      </c>
    </row>
    <row r="55" spans="1:17" x14ac:dyDescent="0.2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7"/>
      <c r="L55" s="22"/>
      <c r="M55" s="27"/>
      <c r="N55" s="32"/>
      <c r="O55" s="37"/>
      <c r="P55" s="42">
        <v>0</v>
      </c>
      <c r="Q55" s="46"/>
    </row>
    <row r="56" spans="1:17" x14ac:dyDescent="0.25">
      <c r="A56" s="3" t="s">
        <v>209</v>
      </c>
      <c r="B56" s="18">
        <f t="shared" ref="B56:K56" si="8">(((((((((((((((((B37)+(B38))+(B39))+(B40))+(B41))+(B42))+(B43))+(B44))+(B45))+(B46))+(B47))+(B48))+(B49))+(B50))+(B51))+(B52))+(B53))+(B54)</f>
        <v>405122.85</v>
      </c>
      <c r="C56" s="18">
        <f t="shared" si="8"/>
        <v>333393.28000000003</v>
      </c>
      <c r="D56" s="18">
        <f t="shared" si="8"/>
        <v>334945.16000000003</v>
      </c>
      <c r="E56" s="18">
        <f t="shared" si="8"/>
        <v>312414.26</v>
      </c>
      <c r="F56" s="18">
        <f t="shared" si="8"/>
        <v>274311.97000000003</v>
      </c>
      <c r="G56" s="18">
        <f t="shared" si="8"/>
        <v>297658.39</v>
      </c>
      <c r="H56" s="18">
        <f t="shared" si="8"/>
        <v>462031.09</v>
      </c>
      <c r="I56" s="18">
        <f t="shared" si="8"/>
        <v>270222.87</v>
      </c>
      <c r="J56" s="18">
        <f t="shared" si="8"/>
        <v>362983.81</v>
      </c>
      <c r="K56" s="18">
        <f t="shared" si="8"/>
        <v>265203.52999999997</v>
      </c>
      <c r="L56" s="23">
        <v>3318287.21</v>
      </c>
      <c r="M56" s="28">
        <v>3958356.0400000005</v>
      </c>
      <c r="N56" s="33">
        <v>-640068.83000000054</v>
      </c>
      <c r="O56" s="38">
        <v>0.8382993284252418</v>
      </c>
      <c r="P56" s="41">
        <v>4827810.0000000009</v>
      </c>
      <c r="Q56" s="45">
        <f t="shared" si="1"/>
        <v>0.68732763095482208</v>
      </c>
    </row>
    <row r="57" spans="1:17" x14ac:dyDescent="0.25">
      <c r="A57" s="3" t="s">
        <v>208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22">
        <v>0</v>
      </c>
      <c r="M57" s="27">
        <v>0</v>
      </c>
      <c r="N57" s="32">
        <v>0</v>
      </c>
      <c r="O57" s="37" t="s">
        <v>287</v>
      </c>
      <c r="P57" s="41">
        <v>0</v>
      </c>
      <c r="Q57" s="45"/>
    </row>
    <row r="58" spans="1:17" x14ac:dyDescent="0.25">
      <c r="A58" s="3" t="s">
        <v>207</v>
      </c>
      <c r="B58" s="17">
        <f>6287.52</f>
        <v>6287.52</v>
      </c>
      <c r="C58" s="17">
        <f>846.67</f>
        <v>846.67</v>
      </c>
      <c r="D58" s="17">
        <f>1693.34</f>
        <v>1693.34</v>
      </c>
      <c r="E58" s="17">
        <f>4202.5</f>
        <v>4202.5</v>
      </c>
      <c r="F58" s="17">
        <f>4202.5</f>
        <v>4202.5</v>
      </c>
      <c r="G58" s="17">
        <f>4202.5</f>
        <v>4202.5</v>
      </c>
      <c r="H58" s="17">
        <f>6231.93</f>
        <v>6231.93</v>
      </c>
      <c r="I58" s="17">
        <f>4202.5</f>
        <v>4202.5</v>
      </c>
      <c r="J58" s="17">
        <f>5217.21</f>
        <v>5217.21</v>
      </c>
      <c r="K58" s="17">
        <f>4202.5</f>
        <v>4202.5</v>
      </c>
      <c r="L58" s="22">
        <v>41289.17</v>
      </c>
      <c r="M58" s="27">
        <v>47053.30000000001</v>
      </c>
      <c r="N58" s="32">
        <v>-5764.1300000000119</v>
      </c>
      <c r="O58" s="37">
        <v>0.8774978588111777</v>
      </c>
      <c r="P58" s="41">
        <v>56464.000000000015</v>
      </c>
      <c r="Q58" s="45">
        <f t="shared" si="1"/>
        <v>0.73124769764805875</v>
      </c>
    </row>
    <row r="59" spans="1:17" x14ac:dyDescent="0.25">
      <c r="A59" s="3" t="s">
        <v>206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22">
        <v>0</v>
      </c>
      <c r="M59" s="27">
        <v>18272.400000000001</v>
      </c>
      <c r="N59" s="32">
        <v>-18272.400000000001</v>
      </c>
      <c r="O59" s="37">
        <v>0</v>
      </c>
      <c r="P59" s="41">
        <v>30454</v>
      </c>
      <c r="Q59" s="45">
        <f t="shared" si="1"/>
        <v>0</v>
      </c>
    </row>
    <row r="60" spans="1:17" x14ac:dyDescent="0.25">
      <c r="A60" s="3" t="s">
        <v>205</v>
      </c>
      <c r="B60" s="16"/>
      <c r="C60" s="16"/>
      <c r="D60" s="16"/>
      <c r="E60" s="16"/>
      <c r="F60" s="16"/>
      <c r="G60" s="16"/>
      <c r="H60" s="16"/>
      <c r="I60" s="17">
        <f>30220.3</f>
        <v>30220.3</v>
      </c>
      <c r="J60" s="16"/>
      <c r="K60" s="16"/>
      <c r="L60" s="22">
        <v>30220.3</v>
      </c>
      <c r="M60" s="27">
        <v>0</v>
      </c>
      <c r="N60" s="32">
        <v>30220.3</v>
      </c>
      <c r="O60" s="37" t="s">
        <v>287</v>
      </c>
      <c r="P60" s="41">
        <v>0</v>
      </c>
      <c r="Q60" s="45"/>
    </row>
    <row r="61" spans="1:17" x14ac:dyDescent="0.25">
      <c r="A61" s="3" t="s">
        <v>204</v>
      </c>
      <c r="B61" s="16"/>
      <c r="C61" s="16"/>
      <c r="D61" s="16"/>
      <c r="E61" s="16"/>
      <c r="F61" s="16"/>
      <c r="G61" s="16"/>
      <c r="H61" s="16"/>
      <c r="I61" s="16"/>
      <c r="J61" s="16"/>
      <c r="K61" s="17">
        <f>-442.16</f>
        <v>-442.16</v>
      </c>
      <c r="L61" s="22">
        <v>-442.16</v>
      </c>
      <c r="M61" s="27">
        <v>0</v>
      </c>
      <c r="N61" s="32">
        <v>-442.16</v>
      </c>
      <c r="O61" s="37" t="s">
        <v>287</v>
      </c>
      <c r="P61" s="41">
        <v>0</v>
      </c>
      <c r="Q61" s="45"/>
    </row>
    <row r="62" spans="1:17" x14ac:dyDescent="0.25">
      <c r="A62" s="3" t="s">
        <v>203</v>
      </c>
      <c r="B62" s="17">
        <f>1126.5</f>
        <v>1126.5</v>
      </c>
      <c r="C62" s="16"/>
      <c r="D62" s="17">
        <f>300</f>
        <v>300</v>
      </c>
      <c r="E62" s="17">
        <f>859.2</f>
        <v>859.2</v>
      </c>
      <c r="F62" s="17">
        <f>3220</f>
        <v>3220</v>
      </c>
      <c r="G62" s="17">
        <f>2600</f>
        <v>2600</v>
      </c>
      <c r="H62" s="17">
        <f>2400</f>
        <v>2400</v>
      </c>
      <c r="I62" s="17">
        <f>1277.64</f>
        <v>1277.6400000000001</v>
      </c>
      <c r="J62" s="17">
        <f>2313.01</f>
        <v>2313.0100000000002</v>
      </c>
      <c r="K62" s="16"/>
      <c r="L62" s="22">
        <v>14096.35</v>
      </c>
      <c r="M62" s="27">
        <v>11666.62</v>
      </c>
      <c r="N62" s="32">
        <v>2429.7299999999996</v>
      </c>
      <c r="O62" s="37">
        <v>1.2082634044821894</v>
      </c>
      <c r="P62" s="41">
        <v>14000.000000000002</v>
      </c>
      <c r="Q62" s="45">
        <f t="shared" si="1"/>
        <v>1.0068821428571428</v>
      </c>
    </row>
    <row r="63" spans="1:17" x14ac:dyDescent="0.25">
      <c r="A63" s="3" t="s">
        <v>202</v>
      </c>
      <c r="B63" s="17">
        <f>215.5</f>
        <v>215.5</v>
      </c>
      <c r="C63" s="17">
        <f>5698.28</f>
        <v>5698.28</v>
      </c>
      <c r="D63" s="17">
        <f>10630.45</f>
        <v>10630.45</v>
      </c>
      <c r="E63" s="17">
        <f>590.72</f>
        <v>590.72</v>
      </c>
      <c r="F63" s="17">
        <f>5709.22</f>
        <v>5709.22</v>
      </c>
      <c r="G63" s="17">
        <f>2512.47</f>
        <v>2512.4699999999998</v>
      </c>
      <c r="H63" s="17">
        <f>234.54</f>
        <v>234.54</v>
      </c>
      <c r="I63" s="17">
        <f>1482.08</f>
        <v>1482.08</v>
      </c>
      <c r="J63" s="17">
        <f>3225.38</f>
        <v>3225.38</v>
      </c>
      <c r="K63" s="16"/>
      <c r="L63" s="22">
        <v>30298.640000000003</v>
      </c>
      <c r="M63" s="27">
        <v>0</v>
      </c>
      <c r="N63" s="32">
        <v>30298.640000000003</v>
      </c>
      <c r="O63" s="37" t="s">
        <v>287</v>
      </c>
      <c r="P63" s="41">
        <v>0</v>
      </c>
      <c r="Q63" s="45"/>
    </row>
    <row r="64" spans="1:17" x14ac:dyDescent="0.25">
      <c r="A64" s="3" t="s">
        <v>201</v>
      </c>
      <c r="B64" s="16"/>
      <c r="C64" s="16"/>
      <c r="D64" s="16"/>
      <c r="E64" s="17">
        <f>44.99</f>
        <v>44.99</v>
      </c>
      <c r="F64" s="17">
        <f>1759</f>
        <v>1759</v>
      </c>
      <c r="G64" s="16"/>
      <c r="H64" s="16"/>
      <c r="I64" s="16"/>
      <c r="J64" s="17">
        <f>313.5</f>
        <v>313.5</v>
      </c>
      <c r="K64" s="16"/>
      <c r="L64" s="22">
        <v>2117.4899999999998</v>
      </c>
      <c r="M64" s="27">
        <v>0</v>
      </c>
      <c r="N64" s="32">
        <v>2117.4899999999998</v>
      </c>
      <c r="O64" s="37" t="s">
        <v>287</v>
      </c>
      <c r="P64" s="41">
        <v>0</v>
      </c>
      <c r="Q64" s="45"/>
    </row>
    <row r="65" spans="1:17" x14ac:dyDescent="0.25">
      <c r="A65" s="3" t="s">
        <v>200</v>
      </c>
      <c r="B65" s="16"/>
      <c r="C65" s="16"/>
      <c r="D65" s="16"/>
      <c r="E65" s="16"/>
      <c r="F65" s="16"/>
      <c r="G65" s="16"/>
      <c r="H65" s="16"/>
      <c r="I65" s="16"/>
      <c r="J65" s="17">
        <f>372</f>
        <v>372</v>
      </c>
      <c r="K65" s="17">
        <f>1748.75</f>
        <v>1748.75</v>
      </c>
      <c r="L65" s="22">
        <v>2120.75</v>
      </c>
      <c r="M65" s="27">
        <v>4166.68</v>
      </c>
      <c r="N65" s="32">
        <v>-2045.9300000000003</v>
      </c>
      <c r="O65" s="37">
        <v>0.50897837126921186</v>
      </c>
      <c r="P65" s="42">
        <v>5000</v>
      </c>
      <c r="Q65" s="46">
        <f t="shared" si="1"/>
        <v>0.42415000000000003</v>
      </c>
    </row>
    <row r="66" spans="1:17" x14ac:dyDescent="0.25">
      <c r="A66" s="3" t="s">
        <v>199</v>
      </c>
      <c r="B66" s="18">
        <f t="shared" ref="B66:K66" si="9">((((((((B57)+(B58))+(B59))+(B60))+(B61))+(B62))+(B63))+(B64))+(B65)</f>
        <v>7629.52</v>
      </c>
      <c r="C66" s="18">
        <f t="shared" si="9"/>
        <v>6544.95</v>
      </c>
      <c r="D66" s="18">
        <f t="shared" si="9"/>
        <v>12623.79</v>
      </c>
      <c r="E66" s="18">
        <f t="shared" si="9"/>
        <v>5697.41</v>
      </c>
      <c r="F66" s="18">
        <f t="shared" si="9"/>
        <v>14890.720000000001</v>
      </c>
      <c r="G66" s="18">
        <f t="shared" si="9"/>
        <v>9314.9699999999993</v>
      </c>
      <c r="H66" s="18">
        <f t="shared" si="9"/>
        <v>8866.4700000000012</v>
      </c>
      <c r="I66" s="18">
        <f t="shared" si="9"/>
        <v>37182.520000000004</v>
      </c>
      <c r="J66" s="18">
        <f t="shared" si="9"/>
        <v>11441.1</v>
      </c>
      <c r="K66" s="18">
        <f t="shared" si="9"/>
        <v>5509.09</v>
      </c>
      <c r="L66" s="23">
        <v>119700.54000000001</v>
      </c>
      <c r="M66" s="28">
        <v>81159</v>
      </c>
      <c r="N66" s="33">
        <v>38541.540000000008</v>
      </c>
      <c r="O66" s="38">
        <v>1.4748892913909735</v>
      </c>
      <c r="P66" s="41">
        <v>105918</v>
      </c>
      <c r="Q66" s="45">
        <f t="shared" si="1"/>
        <v>1.1301246247096812</v>
      </c>
    </row>
    <row r="67" spans="1:17" x14ac:dyDescent="0.25">
      <c r="A67" s="3" t="s">
        <v>198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22">
        <v>0</v>
      </c>
      <c r="M67" s="27">
        <v>52378.399999999994</v>
      </c>
      <c r="N67" s="32">
        <v>-52378.399999999994</v>
      </c>
      <c r="O67" s="37">
        <v>0</v>
      </c>
      <c r="P67" s="41">
        <v>62854</v>
      </c>
      <c r="Q67" s="45">
        <f t="shared" si="1"/>
        <v>0</v>
      </c>
    </row>
    <row r="68" spans="1:17" x14ac:dyDescent="0.25">
      <c r="A68" s="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22"/>
      <c r="M68" s="27"/>
      <c r="N68" s="32"/>
      <c r="O68" s="37"/>
      <c r="P68" s="41">
        <v>0</v>
      </c>
      <c r="Q68" s="45"/>
    </row>
    <row r="69" spans="1:17" x14ac:dyDescent="0.25">
      <c r="A69" s="3" t="s">
        <v>196</v>
      </c>
      <c r="B69" s="16"/>
      <c r="C69" s="17">
        <f>759.38</f>
        <v>759.38</v>
      </c>
      <c r="D69" s="17">
        <f>2500</f>
        <v>2500</v>
      </c>
      <c r="E69" s="16"/>
      <c r="F69" s="17">
        <f>0</f>
        <v>0</v>
      </c>
      <c r="G69" s="16"/>
      <c r="H69" s="16"/>
      <c r="I69" s="16"/>
      <c r="J69" s="16"/>
      <c r="K69" s="16"/>
      <c r="L69" s="22">
        <v>3259.38</v>
      </c>
      <c r="M69" s="27">
        <v>83333.3</v>
      </c>
      <c r="N69" s="32">
        <v>-80073.919999999998</v>
      </c>
      <c r="O69" s="37">
        <v>3.9112575645030255E-2</v>
      </c>
      <c r="P69" s="41">
        <v>100000</v>
      </c>
      <c r="Q69" s="45">
        <f t="shared" si="1"/>
        <v>3.2593799999999999E-2</v>
      </c>
    </row>
    <row r="70" spans="1:17" x14ac:dyDescent="0.25">
      <c r="A70" s="3" t="s">
        <v>195</v>
      </c>
      <c r="B70" s="16"/>
      <c r="C70" s="16"/>
      <c r="D70" s="16"/>
      <c r="E70" s="16"/>
      <c r="F70" s="16"/>
      <c r="G70" s="16"/>
      <c r="H70" s="16"/>
      <c r="I70" s="17">
        <f>313.5</f>
        <v>313.5</v>
      </c>
      <c r="J70" s="16"/>
      <c r="K70" s="16"/>
      <c r="L70" s="22">
        <v>313.5</v>
      </c>
      <c r="M70" s="27">
        <v>0</v>
      </c>
      <c r="N70" s="32">
        <v>313.5</v>
      </c>
      <c r="O70" s="37" t="s">
        <v>287</v>
      </c>
      <c r="P70" s="42">
        <v>0</v>
      </c>
      <c r="Q70" s="46"/>
    </row>
    <row r="71" spans="1:17" x14ac:dyDescent="0.25">
      <c r="A71" s="3" t="s">
        <v>194</v>
      </c>
      <c r="B71" s="18">
        <f t="shared" ref="B71:K71" si="10">((B67)+(B69))+(B70)</f>
        <v>0</v>
      </c>
      <c r="C71" s="18">
        <f t="shared" si="10"/>
        <v>759.38</v>
      </c>
      <c r="D71" s="18">
        <f t="shared" si="10"/>
        <v>2500</v>
      </c>
      <c r="E71" s="18">
        <f t="shared" si="10"/>
        <v>0</v>
      </c>
      <c r="F71" s="18">
        <f t="shared" si="10"/>
        <v>0</v>
      </c>
      <c r="G71" s="18">
        <f t="shared" si="10"/>
        <v>0</v>
      </c>
      <c r="H71" s="18">
        <f t="shared" si="10"/>
        <v>0</v>
      </c>
      <c r="I71" s="18">
        <f t="shared" si="10"/>
        <v>313.5</v>
      </c>
      <c r="J71" s="18">
        <f t="shared" si="10"/>
        <v>0</v>
      </c>
      <c r="K71" s="18">
        <f t="shared" si="10"/>
        <v>0</v>
      </c>
      <c r="L71" s="23">
        <v>3572.88</v>
      </c>
      <c r="M71" s="28">
        <v>135711.70000000001</v>
      </c>
      <c r="N71" s="33">
        <v>-132138.82</v>
      </c>
      <c r="O71" s="38">
        <v>2.6326985808887517E-2</v>
      </c>
      <c r="P71" s="41">
        <v>162854.00000000003</v>
      </c>
      <c r="Q71" s="45">
        <f t="shared" si="1"/>
        <v>2.1939160229407933E-2</v>
      </c>
    </row>
    <row r="72" spans="1:17" x14ac:dyDescent="0.25">
      <c r="A72" s="3" t="s">
        <v>193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22">
        <v>0</v>
      </c>
      <c r="M72" s="27">
        <v>0</v>
      </c>
      <c r="N72" s="32">
        <v>0</v>
      </c>
      <c r="O72" s="37" t="s">
        <v>287</v>
      </c>
      <c r="P72" s="41">
        <v>0</v>
      </c>
      <c r="Q72" s="45"/>
    </row>
    <row r="73" spans="1:17" x14ac:dyDescent="0.25">
      <c r="A73" s="3" t="s">
        <v>192</v>
      </c>
      <c r="B73" s="17">
        <f t="shared" ref="B73:G73" si="11">5028.34</f>
        <v>5028.34</v>
      </c>
      <c r="C73" s="17">
        <f t="shared" si="11"/>
        <v>5028.34</v>
      </c>
      <c r="D73" s="17">
        <f t="shared" si="11"/>
        <v>5028.34</v>
      </c>
      <c r="E73" s="17">
        <f t="shared" si="11"/>
        <v>5028.34</v>
      </c>
      <c r="F73" s="17">
        <f t="shared" si="11"/>
        <v>5028.34</v>
      </c>
      <c r="G73" s="17">
        <f t="shared" si="11"/>
        <v>5028.34</v>
      </c>
      <c r="H73" s="17">
        <f>7057.77</f>
        <v>7057.77</v>
      </c>
      <c r="I73" s="17">
        <f>5028.34</f>
        <v>5028.34</v>
      </c>
      <c r="J73" s="17">
        <f>6043.05</f>
        <v>6043.05</v>
      </c>
      <c r="K73" s="17">
        <f>5028.34</f>
        <v>5028.34</v>
      </c>
      <c r="L73" s="22">
        <v>53327.539999999994</v>
      </c>
      <c r="M73" s="27">
        <v>50283.30000000001</v>
      </c>
      <c r="N73" s="32">
        <v>3044.2399999999834</v>
      </c>
      <c r="O73" s="37">
        <v>1.0605417703293138</v>
      </c>
      <c r="P73" s="41">
        <v>60340.000000000015</v>
      </c>
      <c r="Q73" s="45">
        <f t="shared" si="1"/>
        <v>0.88378422273781876</v>
      </c>
    </row>
    <row r="74" spans="1:17" x14ac:dyDescent="0.25">
      <c r="A74" s="3" t="s">
        <v>191</v>
      </c>
      <c r="B74" s="17">
        <f>62.64</f>
        <v>62.64</v>
      </c>
      <c r="C74" s="17">
        <f>62.64</f>
        <v>62.64</v>
      </c>
      <c r="D74" s="17">
        <f>65.67</f>
        <v>65.67</v>
      </c>
      <c r="E74" s="17">
        <f>65.67</f>
        <v>65.67</v>
      </c>
      <c r="F74" s="16"/>
      <c r="G74" s="17">
        <f>65.67</f>
        <v>65.67</v>
      </c>
      <c r="H74" s="17">
        <f>65.67</f>
        <v>65.67</v>
      </c>
      <c r="I74" s="16"/>
      <c r="J74" s="16"/>
      <c r="K74" s="16"/>
      <c r="L74" s="22">
        <v>387.96000000000004</v>
      </c>
      <c r="M74" s="27">
        <v>0</v>
      </c>
      <c r="N74" s="32">
        <v>387.96000000000004</v>
      </c>
      <c r="O74" s="37" t="s">
        <v>287</v>
      </c>
      <c r="P74" s="41">
        <v>0</v>
      </c>
      <c r="Q74" s="45"/>
    </row>
    <row r="75" spans="1:17" x14ac:dyDescent="0.25">
      <c r="A75" s="3" t="s">
        <v>190</v>
      </c>
      <c r="B75" s="16"/>
      <c r="C75" s="16"/>
      <c r="D75" s="16"/>
      <c r="E75" s="16"/>
      <c r="F75" s="16"/>
      <c r="G75" s="16"/>
      <c r="H75" s="16"/>
      <c r="I75" s="16"/>
      <c r="J75" s="16"/>
      <c r="K75" s="17">
        <f>-301.7</f>
        <v>-301.7</v>
      </c>
      <c r="L75" s="22">
        <v>-301.7</v>
      </c>
      <c r="M75" s="27">
        <v>0</v>
      </c>
      <c r="N75" s="32">
        <v>-301.7</v>
      </c>
      <c r="O75" s="37" t="s">
        <v>287</v>
      </c>
      <c r="P75" s="41">
        <v>0</v>
      </c>
      <c r="Q75" s="45"/>
    </row>
    <row r="76" spans="1:17" x14ac:dyDescent="0.25">
      <c r="A76" s="3" t="s">
        <v>189</v>
      </c>
      <c r="B76" s="16"/>
      <c r="C76" s="16"/>
      <c r="D76" s="16"/>
      <c r="E76" s="16"/>
      <c r="F76" s="17">
        <f>35.77</f>
        <v>35.770000000000003</v>
      </c>
      <c r="G76" s="16"/>
      <c r="H76" s="16"/>
      <c r="I76" s="16"/>
      <c r="J76" s="16"/>
      <c r="K76" s="17">
        <f>8533.41</f>
        <v>8533.41</v>
      </c>
      <c r="L76" s="22">
        <v>8569.18</v>
      </c>
      <c r="M76" s="27">
        <v>0</v>
      </c>
      <c r="N76" s="32">
        <v>8569.18</v>
      </c>
      <c r="O76" s="37" t="s">
        <v>287</v>
      </c>
      <c r="P76" s="41">
        <v>0</v>
      </c>
      <c r="Q76" s="45"/>
    </row>
    <row r="77" spans="1:17" x14ac:dyDescent="0.25">
      <c r="A77" s="3" t="s">
        <v>188</v>
      </c>
      <c r="B77" s="16"/>
      <c r="C77" s="16"/>
      <c r="D77" s="17">
        <f>556.46</f>
        <v>556.46</v>
      </c>
      <c r="E77" s="16"/>
      <c r="F77" s="16"/>
      <c r="G77" s="16"/>
      <c r="H77" s="16"/>
      <c r="I77" s="16"/>
      <c r="J77" s="16"/>
      <c r="K77" s="16"/>
      <c r="L77" s="22">
        <v>556.46</v>
      </c>
      <c r="M77" s="27">
        <v>0</v>
      </c>
      <c r="N77" s="32">
        <v>556.46</v>
      </c>
      <c r="O77" s="37" t="s">
        <v>287</v>
      </c>
      <c r="P77" s="42">
        <v>0</v>
      </c>
      <c r="Q77" s="46"/>
    </row>
    <row r="78" spans="1:17" x14ac:dyDescent="0.25">
      <c r="A78" s="3" t="s">
        <v>187</v>
      </c>
      <c r="B78" s="18">
        <f t="shared" ref="B78:K78" si="12">(((((B72)+(B73))+(B74))+(B75))+(B76))+(B77)</f>
        <v>5090.9800000000005</v>
      </c>
      <c r="C78" s="18">
        <f t="shared" si="12"/>
        <v>5090.9800000000005</v>
      </c>
      <c r="D78" s="18">
        <f t="shared" si="12"/>
        <v>5650.47</v>
      </c>
      <c r="E78" s="18">
        <f t="shared" si="12"/>
        <v>5094.01</v>
      </c>
      <c r="F78" s="18">
        <f t="shared" si="12"/>
        <v>5064.1100000000006</v>
      </c>
      <c r="G78" s="18">
        <f t="shared" si="12"/>
        <v>5094.01</v>
      </c>
      <c r="H78" s="18">
        <f t="shared" si="12"/>
        <v>7123.4400000000005</v>
      </c>
      <c r="I78" s="18">
        <f t="shared" si="12"/>
        <v>5028.34</v>
      </c>
      <c r="J78" s="18">
        <f t="shared" si="12"/>
        <v>6043.05</v>
      </c>
      <c r="K78" s="18">
        <f t="shared" si="12"/>
        <v>13260.05</v>
      </c>
      <c r="L78" s="23">
        <v>62539.440000000017</v>
      </c>
      <c r="M78" s="28">
        <v>50283.30000000001</v>
      </c>
      <c r="N78" s="33">
        <v>12256.140000000007</v>
      </c>
      <c r="O78" s="38">
        <v>1.2437417591924158</v>
      </c>
      <c r="P78" s="41">
        <v>60340.000000000015</v>
      </c>
      <c r="Q78" s="45">
        <f t="shared" si="1"/>
        <v>1.0364507789194564</v>
      </c>
    </row>
    <row r="79" spans="1:17" x14ac:dyDescent="0.25">
      <c r="A79" s="3" t="s">
        <v>186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22">
        <v>0</v>
      </c>
      <c r="M79" s="27">
        <v>0</v>
      </c>
      <c r="N79" s="32">
        <v>0</v>
      </c>
      <c r="O79" s="37" t="s">
        <v>287</v>
      </c>
      <c r="P79" s="41">
        <v>0</v>
      </c>
      <c r="Q79" s="45"/>
    </row>
    <row r="80" spans="1:17" x14ac:dyDescent="0.25">
      <c r="A80" s="3" t="s">
        <v>185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22">
        <v>0</v>
      </c>
      <c r="M80" s="27">
        <v>37915.80000000001</v>
      </c>
      <c r="N80" s="32">
        <v>-37915.80000000001</v>
      </c>
      <c r="O80" s="37">
        <v>0</v>
      </c>
      <c r="P80" s="41">
        <v>45499.000000000015</v>
      </c>
      <c r="Q80" s="45">
        <f t="shared" ref="Q80:Q140" si="13">L80/P80</f>
        <v>0</v>
      </c>
    </row>
    <row r="81" spans="1:17" x14ac:dyDescent="0.25">
      <c r="A81" s="3" t="s">
        <v>184</v>
      </c>
      <c r="B81" s="17">
        <f>3333.32</f>
        <v>3333.32</v>
      </c>
      <c r="C81" s="17">
        <f>3333.32</f>
        <v>3333.32</v>
      </c>
      <c r="D81" s="17">
        <f>3333.32</f>
        <v>3333.32</v>
      </c>
      <c r="E81" s="17">
        <f>3333.32</f>
        <v>3333.32</v>
      </c>
      <c r="F81" s="17">
        <f>1083.35</f>
        <v>1083.3499999999999</v>
      </c>
      <c r="G81" s="17">
        <f>0</f>
        <v>0</v>
      </c>
      <c r="H81" s="17">
        <f>3493.14</f>
        <v>3493.14</v>
      </c>
      <c r="I81" s="17">
        <f>3333.32</f>
        <v>3333.32</v>
      </c>
      <c r="J81" s="17">
        <f>4956.86</f>
        <v>4956.8599999999997</v>
      </c>
      <c r="K81" s="17">
        <f>7974.02</f>
        <v>7974.02</v>
      </c>
      <c r="L81" s="22">
        <v>34173.97</v>
      </c>
      <c r="M81" s="27">
        <v>61343.30000000001</v>
      </c>
      <c r="N81" s="32">
        <v>-27169.330000000009</v>
      </c>
      <c r="O81" s="37">
        <v>0.55709376574132785</v>
      </c>
      <c r="P81" s="41">
        <v>73612</v>
      </c>
      <c r="Q81" s="45">
        <f t="shared" si="13"/>
        <v>0.46424455251861113</v>
      </c>
    </row>
    <row r="82" spans="1:17" x14ac:dyDescent="0.25">
      <c r="A82" s="3" t="s">
        <v>183</v>
      </c>
      <c r="B82" s="16"/>
      <c r="C82" s="16"/>
      <c r="D82" s="16"/>
      <c r="E82" s="16"/>
      <c r="F82" s="16"/>
      <c r="G82" s="16"/>
      <c r="H82" s="17">
        <f>636.52</f>
        <v>636.52</v>
      </c>
      <c r="I82" s="16"/>
      <c r="J82" s="17">
        <f>1287.48</f>
        <v>1287.48</v>
      </c>
      <c r="K82" s="17">
        <f>8654.26</f>
        <v>8654.26</v>
      </c>
      <c r="L82" s="22">
        <v>10578.26</v>
      </c>
      <c r="M82" s="27">
        <v>0</v>
      </c>
      <c r="N82" s="32">
        <v>10578.26</v>
      </c>
      <c r="O82" s="37" t="s">
        <v>287</v>
      </c>
      <c r="P82" s="41">
        <v>0</v>
      </c>
      <c r="Q82" s="45"/>
    </row>
    <row r="83" spans="1:17" x14ac:dyDescent="0.25">
      <c r="A83" s="3" t="s">
        <v>182</v>
      </c>
      <c r="B83" s="16"/>
      <c r="C83" s="16"/>
      <c r="D83" s="16"/>
      <c r="E83" s="16"/>
      <c r="F83" s="16"/>
      <c r="G83" s="16"/>
      <c r="H83" s="16"/>
      <c r="I83" s="17">
        <f>7650.68</f>
        <v>7650.68</v>
      </c>
      <c r="J83" s="17">
        <f>5754.42</f>
        <v>5754.42</v>
      </c>
      <c r="K83" s="17">
        <f>-478.44</f>
        <v>-478.44</v>
      </c>
      <c r="L83" s="22">
        <v>12926.66</v>
      </c>
      <c r="M83" s="27">
        <v>0</v>
      </c>
      <c r="N83" s="32">
        <v>12926.66</v>
      </c>
      <c r="O83" s="37" t="s">
        <v>287</v>
      </c>
      <c r="P83" s="41">
        <v>0</v>
      </c>
      <c r="Q83" s="45"/>
    </row>
    <row r="84" spans="1:17" x14ac:dyDescent="0.25">
      <c r="A84" s="3" t="s">
        <v>181</v>
      </c>
      <c r="B84" s="16"/>
      <c r="C84" s="16"/>
      <c r="D84" s="16"/>
      <c r="E84" s="16"/>
      <c r="F84" s="16"/>
      <c r="G84" s="16"/>
      <c r="H84" s="16"/>
      <c r="I84" s="17">
        <f>193.37</f>
        <v>193.37</v>
      </c>
      <c r="J84" s="16"/>
      <c r="K84" s="16"/>
      <c r="L84" s="22">
        <v>193.37</v>
      </c>
      <c r="M84" s="27">
        <v>0</v>
      </c>
      <c r="N84" s="32">
        <v>193.37</v>
      </c>
      <c r="O84" s="37" t="s">
        <v>287</v>
      </c>
      <c r="P84" s="41">
        <v>0</v>
      </c>
      <c r="Q84" s="45"/>
    </row>
    <row r="85" spans="1:17" x14ac:dyDescent="0.25">
      <c r="A85" s="3" t="s">
        <v>180</v>
      </c>
      <c r="B85" s="16"/>
      <c r="C85" s="16"/>
      <c r="D85" s="16"/>
      <c r="E85" s="16"/>
      <c r="F85" s="16"/>
      <c r="G85" s="16"/>
      <c r="H85" s="16"/>
      <c r="I85" s="17">
        <f>77.87</f>
        <v>77.87</v>
      </c>
      <c r="J85" s="16"/>
      <c r="K85" s="16"/>
      <c r="L85" s="22">
        <v>77.87</v>
      </c>
      <c r="M85" s="27">
        <v>0</v>
      </c>
      <c r="N85" s="32">
        <v>77.87</v>
      </c>
      <c r="O85" s="37" t="s">
        <v>287</v>
      </c>
      <c r="P85" s="41">
        <v>0</v>
      </c>
      <c r="Q85" s="45"/>
    </row>
    <row r="86" spans="1:17" x14ac:dyDescent="0.25">
      <c r="A86" s="3" t="s">
        <v>179</v>
      </c>
      <c r="B86" s="16"/>
      <c r="C86" s="17">
        <f>509.21</f>
        <v>509.21</v>
      </c>
      <c r="D86" s="17">
        <f>165</f>
        <v>165</v>
      </c>
      <c r="E86" s="17">
        <f>320.41</f>
        <v>320.41000000000003</v>
      </c>
      <c r="F86" s="16"/>
      <c r="G86" s="16"/>
      <c r="H86" s="16"/>
      <c r="I86" s="17">
        <f>189.51</f>
        <v>189.51</v>
      </c>
      <c r="J86" s="17">
        <f>950.29</f>
        <v>950.29</v>
      </c>
      <c r="K86" s="17">
        <f>516.98</f>
        <v>516.98</v>
      </c>
      <c r="L86" s="22">
        <v>2651.4</v>
      </c>
      <c r="M86" s="27">
        <v>0</v>
      </c>
      <c r="N86" s="32">
        <v>2651.4</v>
      </c>
      <c r="O86" s="37" t="s">
        <v>287</v>
      </c>
      <c r="P86" s="41">
        <v>0</v>
      </c>
      <c r="Q86" s="45"/>
    </row>
    <row r="87" spans="1:17" x14ac:dyDescent="0.25">
      <c r="A87" s="3" t="s">
        <v>178</v>
      </c>
      <c r="B87" s="16"/>
      <c r="C87" s="16"/>
      <c r="D87" s="17">
        <f>30</f>
        <v>30</v>
      </c>
      <c r="E87" s="16"/>
      <c r="F87" s="16"/>
      <c r="G87" s="16"/>
      <c r="H87" s="17">
        <f>90</f>
        <v>90</v>
      </c>
      <c r="I87" s="16"/>
      <c r="J87" s="17">
        <f>216.26</f>
        <v>216.26</v>
      </c>
      <c r="K87" s="17">
        <f>200</f>
        <v>200</v>
      </c>
      <c r="L87" s="22">
        <v>536.26</v>
      </c>
      <c r="M87" s="27">
        <v>0</v>
      </c>
      <c r="N87" s="32">
        <v>536.26</v>
      </c>
      <c r="O87" s="37" t="s">
        <v>287</v>
      </c>
      <c r="P87" s="41">
        <v>0</v>
      </c>
      <c r="Q87" s="45"/>
    </row>
    <row r="88" spans="1:17" x14ac:dyDescent="0.25">
      <c r="A88" s="3" t="s">
        <v>177</v>
      </c>
      <c r="B88" s="16"/>
      <c r="C88" s="16"/>
      <c r="D88" s="17">
        <f>2854.73</f>
        <v>2854.73</v>
      </c>
      <c r="E88" s="16"/>
      <c r="F88" s="16"/>
      <c r="G88" s="16"/>
      <c r="H88" s="16"/>
      <c r="I88" s="16"/>
      <c r="J88" s="16"/>
      <c r="K88" s="16"/>
      <c r="L88" s="22">
        <v>2854.73</v>
      </c>
      <c r="M88" s="27">
        <v>0</v>
      </c>
      <c r="N88" s="32">
        <v>2854.73</v>
      </c>
      <c r="O88" s="37" t="s">
        <v>287</v>
      </c>
      <c r="P88" s="41">
        <v>0</v>
      </c>
      <c r="Q88" s="45"/>
    </row>
    <row r="89" spans="1:17" x14ac:dyDescent="0.25">
      <c r="A89" s="3" t="s">
        <v>176</v>
      </c>
      <c r="B89" s="16"/>
      <c r="C89" s="16"/>
      <c r="D89" s="16"/>
      <c r="E89" s="16"/>
      <c r="F89" s="16"/>
      <c r="G89" s="16"/>
      <c r="H89" s="16"/>
      <c r="I89" s="16"/>
      <c r="J89" s="17">
        <f>90</f>
        <v>90</v>
      </c>
      <c r="K89" s="16"/>
      <c r="L89" s="22">
        <v>90</v>
      </c>
      <c r="M89" s="27">
        <v>0</v>
      </c>
      <c r="N89" s="32">
        <v>90</v>
      </c>
      <c r="O89" s="37" t="s">
        <v>287</v>
      </c>
      <c r="P89" s="42">
        <v>0</v>
      </c>
      <c r="Q89" s="46"/>
    </row>
    <row r="90" spans="1:17" x14ac:dyDescent="0.25">
      <c r="A90" s="3" t="s">
        <v>175</v>
      </c>
      <c r="B90" s="18">
        <f t="shared" ref="B90:K90" si="14">((((((((((B79)+(B80))+(B81))+(B82))+(B83))+(B84))+(B85))+(B86))+(B87))+(B88))+(B89)</f>
        <v>3333.32</v>
      </c>
      <c r="C90" s="18">
        <f t="shared" si="14"/>
        <v>3842.53</v>
      </c>
      <c r="D90" s="18">
        <f t="shared" si="14"/>
        <v>6383.05</v>
      </c>
      <c r="E90" s="18">
        <f t="shared" si="14"/>
        <v>3653.73</v>
      </c>
      <c r="F90" s="18">
        <f t="shared" si="14"/>
        <v>1083.3499999999999</v>
      </c>
      <c r="G90" s="18">
        <f t="shared" si="14"/>
        <v>0</v>
      </c>
      <c r="H90" s="18">
        <f t="shared" si="14"/>
        <v>4219.66</v>
      </c>
      <c r="I90" s="18">
        <f t="shared" si="14"/>
        <v>11444.750000000002</v>
      </c>
      <c r="J90" s="18">
        <f t="shared" si="14"/>
        <v>13255.31</v>
      </c>
      <c r="K90" s="18">
        <f t="shared" si="14"/>
        <v>16866.82</v>
      </c>
      <c r="L90" s="23">
        <v>64082.52</v>
      </c>
      <c r="M90" s="28">
        <v>99259.10000000002</v>
      </c>
      <c r="N90" s="33">
        <v>-35176.580000000024</v>
      </c>
      <c r="O90" s="38">
        <v>0.64560851347634607</v>
      </c>
      <c r="P90" s="41">
        <v>119111.00000000001</v>
      </c>
      <c r="Q90" s="45">
        <f t="shared" si="13"/>
        <v>0.53800673321523607</v>
      </c>
    </row>
    <row r="91" spans="1:17" x14ac:dyDescent="0.25">
      <c r="A91" s="3" t="s">
        <v>174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22">
        <v>0</v>
      </c>
      <c r="M91" s="27">
        <v>0</v>
      </c>
      <c r="N91" s="32">
        <v>0</v>
      </c>
      <c r="O91" s="37" t="s">
        <v>287</v>
      </c>
      <c r="P91" s="41">
        <v>0</v>
      </c>
      <c r="Q91" s="45"/>
    </row>
    <row r="92" spans="1:17" x14ac:dyDescent="0.25">
      <c r="A92" s="3" t="s">
        <v>173</v>
      </c>
      <c r="B92" s="16"/>
      <c r="C92" s="16"/>
      <c r="D92" s="16"/>
      <c r="E92" s="16"/>
      <c r="F92" s="16"/>
      <c r="G92" s="16"/>
      <c r="H92" s="17">
        <f>5208.34</f>
        <v>5208.34</v>
      </c>
      <c r="I92" s="17">
        <f>10416.68</f>
        <v>10416.68</v>
      </c>
      <c r="J92" s="17">
        <f>10416.68</f>
        <v>10416.68</v>
      </c>
      <c r="K92" s="17">
        <f>10416.68</f>
        <v>10416.68</v>
      </c>
      <c r="L92" s="22">
        <v>36458.380000000005</v>
      </c>
      <c r="M92" s="27">
        <v>0</v>
      </c>
      <c r="N92" s="32">
        <v>36458.380000000005</v>
      </c>
      <c r="O92" s="37" t="s">
        <v>287</v>
      </c>
      <c r="P92" s="41">
        <v>0</v>
      </c>
      <c r="Q92" s="45"/>
    </row>
    <row r="93" spans="1:17" x14ac:dyDescent="0.25">
      <c r="A93" s="3" t="s">
        <v>172</v>
      </c>
      <c r="B93" s="17">
        <f>12462.51</f>
        <v>12462.51</v>
      </c>
      <c r="C93" s="17">
        <f>14039.78</f>
        <v>14039.78</v>
      </c>
      <c r="D93" s="17">
        <f>17164.82</f>
        <v>17164.82</v>
      </c>
      <c r="E93" s="17">
        <f>6748.16</f>
        <v>6748.16</v>
      </c>
      <c r="F93" s="17">
        <f>6748.16</f>
        <v>6748.16</v>
      </c>
      <c r="G93" s="17">
        <f>6748.16</f>
        <v>6748.16</v>
      </c>
      <c r="H93" s="17">
        <f>8777.59</f>
        <v>8777.59</v>
      </c>
      <c r="I93" s="17">
        <f>6748.16</f>
        <v>6748.16</v>
      </c>
      <c r="J93" s="17">
        <f>7762.87</f>
        <v>7762.87</v>
      </c>
      <c r="K93" s="17">
        <f>6748.08</f>
        <v>6748.08</v>
      </c>
      <c r="L93" s="22">
        <v>93948.290000000008</v>
      </c>
      <c r="M93" s="27">
        <v>125820.8</v>
      </c>
      <c r="N93" s="32">
        <v>-31872.509999999995</v>
      </c>
      <c r="O93" s="37">
        <v>0.74668329878684614</v>
      </c>
      <c r="P93" s="41">
        <v>150985</v>
      </c>
      <c r="Q93" s="45">
        <f t="shared" si="13"/>
        <v>0.62223591747524598</v>
      </c>
    </row>
    <row r="94" spans="1:17" x14ac:dyDescent="0.25">
      <c r="A94" s="3" t="s">
        <v>171</v>
      </c>
      <c r="B94" s="17">
        <f>3125.31</f>
        <v>3125.31</v>
      </c>
      <c r="C94" s="17">
        <f>3125.62</f>
        <v>3125.62</v>
      </c>
      <c r="D94" s="17">
        <f>4563.12</f>
        <v>4563.12</v>
      </c>
      <c r="E94" s="17">
        <f>6000</f>
        <v>6000</v>
      </c>
      <c r="F94" s="17">
        <f>4090</f>
        <v>4090</v>
      </c>
      <c r="G94" s="17">
        <f>6666.68</f>
        <v>6666.68</v>
      </c>
      <c r="H94" s="17">
        <f>8696.11</f>
        <v>8696.11</v>
      </c>
      <c r="I94" s="17">
        <f>6666.68</f>
        <v>6666.68</v>
      </c>
      <c r="J94" s="17">
        <f>8746.84</f>
        <v>8746.84</v>
      </c>
      <c r="K94" s="17">
        <f>6666.68</f>
        <v>6666.68</v>
      </c>
      <c r="L94" s="22">
        <v>58347.040000000001</v>
      </c>
      <c r="M94" s="27">
        <v>45950.80000000001</v>
      </c>
      <c r="N94" s="32">
        <v>12396.239999999991</v>
      </c>
      <c r="O94" s="37">
        <v>1.2697720170269067</v>
      </c>
      <c r="P94" s="41">
        <v>55141.000000000015</v>
      </c>
      <c r="Q94" s="45">
        <f t="shared" si="13"/>
        <v>1.0581425799314481</v>
      </c>
    </row>
    <row r="95" spans="1:17" x14ac:dyDescent="0.25">
      <c r="A95" s="3" t="s">
        <v>170</v>
      </c>
      <c r="B95" s="16"/>
      <c r="C95" s="17">
        <f>981.75</f>
        <v>981.75</v>
      </c>
      <c r="D95" s="17">
        <f>1226.5</f>
        <v>1226.5</v>
      </c>
      <c r="E95" s="17">
        <f>1311.75</f>
        <v>1311.75</v>
      </c>
      <c r="F95" s="17">
        <f>1193.5</f>
        <v>1193.5</v>
      </c>
      <c r="G95" s="17">
        <f>792</f>
        <v>792</v>
      </c>
      <c r="H95" s="17">
        <f>1162.92</f>
        <v>1162.92</v>
      </c>
      <c r="I95" s="17">
        <f>1309</f>
        <v>1309</v>
      </c>
      <c r="J95" s="17">
        <f>3266.36</f>
        <v>3266.36</v>
      </c>
      <c r="K95" s="17">
        <f>1754.5</f>
        <v>1754.5</v>
      </c>
      <c r="L95" s="22">
        <v>12998.28</v>
      </c>
      <c r="M95" s="27">
        <v>43827.5</v>
      </c>
      <c r="N95" s="32">
        <v>-30829.22</v>
      </c>
      <c r="O95" s="37">
        <v>0.2965781758028635</v>
      </c>
      <c r="P95" s="41">
        <v>52593</v>
      </c>
      <c r="Q95" s="45">
        <f t="shared" si="13"/>
        <v>0.24714847983571958</v>
      </c>
    </row>
    <row r="96" spans="1:17" x14ac:dyDescent="0.25">
      <c r="A96" s="3" t="s">
        <v>169</v>
      </c>
      <c r="B96" s="17">
        <f>9880.8</f>
        <v>9880.7999999999993</v>
      </c>
      <c r="C96" s="17">
        <f>10130.8</f>
        <v>10130.799999999999</v>
      </c>
      <c r="D96" s="17">
        <f>9880.8</f>
        <v>9880.7999999999993</v>
      </c>
      <c r="E96" s="17">
        <f>9880.8</f>
        <v>9880.7999999999993</v>
      </c>
      <c r="F96" s="17">
        <f>10380.8</f>
        <v>10380.799999999999</v>
      </c>
      <c r="G96" s="17">
        <f>10380.8</f>
        <v>10380.799999999999</v>
      </c>
      <c r="H96" s="17">
        <f>11254.19</f>
        <v>11254.19</v>
      </c>
      <c r="I96" s="17">
        <f>7723.66</f>
        <v>7723.66</v>
      </c>
      <c r="J96" s="17">
        <f>9753.08</f>
        <v>9753.08</v>
      </c>
      <c r="K96" s="17">
        <f>10123.66</f>
        <v>10123.66</v>
      </c>
      <c r="L96" s="22">
        <v>99389.390000000014</v>
      </c>
      <c r="M96" s="27">
        <v>100891.60000000002</v>
      </c>
      <c r="N96" s="32">
        <v>-1502.2100000000064</v>
      </c>
      <c r="O96" s="37">
        <v>0.98511065341415927</v>
      </c>
      <c r="P96" s="41">
        <v>121070.00000000003</v>
      </c>
      <c r="Q96" s="45">
        <f t="shared" si="13"/>
        <v>0.82092500206492103</v>
      </c>
    </row>
    <row r="97" spans="1:17" x14ac:dyDescent="0.25">
      <c r="A97" s="3" t="s">
        <v>168</v>
      </c>
      <c r="B97" s="16"/>
      <c r="C97" s="16"/>
      <c r="D97" s="16"/>
      <c r="E97" s="16"/>
      <c r="F97" s="16"/>
      <c r="G97" s="16"/>
      <c r="H97" s="17">
        <f>0</f>
        <v>0</v>
      </c>
      <c r="I97" s="17">
        <f>2083.33</f>
        <v>2083.33</v>
      </c>
      <c r="J97" s="17">
        <f>5181.37</f>
        <v>5181.37</v>
      </c>
      <c r="K97" s="17">
        <f>0</f>
        <v>0</v>
      </c>
      <c r="L97" s="22">
        <v>7264.7</v>
      </c>
      <c r="M97" s="27">
        <v>82291.60000000002</v>
      </c>
      <c r="N97" s="32">
        <v>-75026.900000000023</v>
      </c>
      <c r="O97" s="37">
        <v>8.8279970252127776E-2</v>
      </c>
      <c r="P97" s="41">
        <v>98750.000000000015</v>
      </c>
      <c r="Q97" s="45">
        <f t="shared" si="13"/>
        <v>7.3566582278480994E-2</v>
      </c>
    </row>
    <row r="98" spans="1:17" x14ac:dyDescent="0.25">
      <c r="A98" s="3" t="s">
        <v>167</v>
      </c>
      <c r="B98" s="17">
        <f>3218</f>
        <v>3218</v>
      </c>
      <c r="C98" s="17">
        <f>0</f>
        <v>0</v>
      </c>
      <c r="D98" s="17">
        <f>0</f>
        <v>0</v>
      </c>
      <c r="E98" s="17">
        <f>0</f>
        <v>0</v>
      </c>
      <c r="F98" s="16"/>
      <c r="G98" s="16"/>
      <c r="H98" s="16"/>
      <c r="I98" s="16"/>
      <c r="J98" s="16"/>
      <c r="K98" s="16"/>
      <c r="L98" s="22">
        <v>3218</v>
      </c>
      <c r="M98" s="27">
        <v>0</v>
      </c>
      <c r="N98" s="32">
        <v>3218</v>
      </c>
      <c r="O98" s="37" t="s">
        <v>287</v>
      </c>
      <c r="P98" s="41">
        <v>0</v>
      </c>
      <c r="Q98" s="45"/>
    </row>
    <row r="99" spans="1:17" x14ac:dyDescent="0.25">
      <c r="A99" s="3" t="s">
        <v>166</v>
      </c>
      <c r="B99" s="17">
        <f>4583.34</f>
        <v>4583.34</v>
      </c>
      <c r="C99" s="17">
        <f>3333.34</f>
        <v>3333.34</v>
      </c>
      <c r="D99" s="17">
        <f>3333.34</f>
        <v>3333.34</v>
      </c>
      <c r="E99" s="17">
        <f>3333.34</f>
        <v>3333.34</v>
      </c>
      <c r="F99" s="17">
        <f>3333.34</f>
        <v>3333.34</v>
      </c>
      <c r="G99" s="17">
        <f>3333.34</f>
        <v>3333.34</v>
      </c>
      <c r="H99" s="17">
        <f>3924.75</f>
        <v>3924.75</v>
      </c>
      <c r="I99" s="17">
        <f>3433.34</f>
        <v>3433.34</v>
      </c>
      <c r="J99" s="17">
        <f>4516.18</f>
        <v>4516.18</v>
      </c>
      <c r="K99" s="17">
        <f>3433.34</f>
        <v>3433.34</v>
      </c>
      <c r="L99" s="22">
        <v>36557.649999999994</v>
      </c>
      <c r="M99" s="27">
        <v>13677</v>
      </c>
      <c r="N99" s="32">
        <v>22880.649999999994</v>
      </c>
      <c r="O99" s="37">
        <v>2.6729290048987346</v>
      </c>
      <c r="P99" s="41">
        <v>22795</v>
      </c>
      <c r="Q99" s="45">
        <f t="shared" si="13"/>
        <v>1.6037574029392407</v>
      </c>
    </row>
    <row r="100" spans="1:17" x14ac:dyDescent="0.25">
      <c r="A100" s="3" t="s">
        <v>165</v>
      </c>
      <c r="B100" s="17">
        <f>771.26</f>
        <v>771.26</v>
      </c>
      <c r="C100" s="17">
        <f>504.79</f>
        <v>504.79</v>
      </c>
      <c r="D100" s="17">
        <f>613.01</f>
        <v>613.01</v>
      </c>
      <c r="E100" s="17">
        <f>613.01</f>
        <v>613.01</v>
      </c>
      <c r="F100" s="16"/>
      <c r="G100" s="17">
        <f>602.97</f>
        <v>602.97</v>
      </c>
      <c r="H100" s="17">
        <f>602.97</f>
        <v>602.97</v>
      </c>
      <c r="I100" s="16"/>
      <c r="J100" s="16"/>
      <c r="K100" s="17">
        <f>1606.74</f>
        <v>1606.74</v>
      </c>
      <c r="L100" s="22">
        <v>5314.75</v>
      </c>
      <c r="M100" s="27">
        <v>0</v>
      </c>
      <c r="N100" s="32">
        <v>5314.75</v>
      </c>
      <c r="O100" s="37" t="s">
        <v>287</v>
      </c>
      <c r="P100" s="41">
        <v>0</v>
      </c>
      <c r="Q100" s="45"/>
    </row>
    <row r="101" spans="1:17" x14ac:dyDescent="0.25">
      <c r="A101" s="3" t="s">
        <v>164</v>
      </c>
      <c r="B101" s="16"/>
      <c r="C101" s="16"/>
      <c r="D101" s="16"/>
      <c r="E101" s="16"/>
      <c r="F101" s="16"/>
      <c r="G101" s="16"/>
      <c r="H101" s="16"/>
      <c r="I101" s="16"/>
      <c r="J101" s="17">
        <f>3059.29</f>
        <v>3059.29</v>
      </c>
      <c r="K101" s="17">
        <f>-1893.3</f>
        <v>-1893.3</v>
      </c>
      <c r="L101" s="22">
        <v>1165.99</v>
      </c>
      <c r="M101" s="27">
        <v>0</v>
      </c>
      <c r="N101" s="32">
        <v>1165.99</v>
      </c>
      <c r="O101" s="37" t="s">
        <v>287</v>
      </c>
      <c r="P101" s="41">
        <v>0</v>
      </c>
      <c r="Q101" s="45"/>
    </row>
    <row r="102" spans="1:17" x14ac:dyDescent="0.25">
      <c r="A102" s="3" t="s">
        <v>163</v>
      </c>
      <c r="B102" s="17">
        <f>4200</f>
        <v>4200</v>
      </c>
      <c r="C102" s="17">
        <f>10025</f>
        <v>10025</v>
      </c>
      <c r="D102" s="17">
        <f>2307.5</f>
        <v>2307.5</v>
      </c>
      <c r="E102" s="17">
        <f>1015</f>
        <v>1015</v>
      </c>
      <c r="F102" s="16"/>
      <c r="G102" s="17">
        <f>9150</f>
        <v>9150</v>
      </c>
      <c r="H102" s="16"/>
      <c r="I102" s="16"/>
      <c r="J102" s="17">
        <f>439.66</f>
        <v>439.66</v>
      </c>
      <c r="K102" s="16"/>
      <c r="L102" s="22">
        <v>27137.16</v>
      </c>
      <c r="M102" s="27">
        <v>53373.30000000001</v>
      </c>
      <c r="N102" s="32">
        <v>-26236.14000000001</v>
      </c>
      <c r="O102" s="37">
        <v>0.50844073722254379</v>
      </c>
      <c r="P102" s="41">
        <v>64048.000000000015</v>
      </c>
      <c r="Q102" s="45">
        <f t="shared" si="13"/>
        <v>0.4237003497376966</v>
      </c>
    </row>
    <row r="103" spans="1:17" x14ac:dyDescent="0.25">
      <c r="A103" s="3" t="s">
        <v>162</v>
      </c>
      <c r="B103" s="16"/>
      <c r="C103" s="16"/>
      <c r="D103" s="16"/>
      <c r="E103" s="16"/>
      <c r="F103" s="16"/>
      <c r="G103" s="16"/>
      <c r="H103" s="16"/>
      <c r="I103" s="16"/>
      <c r="J103" s="17">
        <f>28295.45</f>
        <v>28295.45</v>
      </c>
      <c r="K103" s="16"/>
      <c r="L103" s="22">
        <v>28295.45</v>
      </c>
      <c r="M103" s="27">
        <v>0</v>
      </c>
      <c r="N103" s="32">
        <v>28295.45</v>
      </c>
      <c r="O103" s="37" t="s">
        <v>287</v>
      </c>
      <c r="P103" s="41">
        <v>0</v>
      </c>
      <c r="Q103" s="45"/>
    </row>
    <row r="104" spans="1:17" x14ac:dyDescent="0.25">
      <c r="A104" s="3" t="s">
        <v>161</v>
      </c>
      <c r="B104" s="17">
        <f>18750</f>
        <v>18750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22">
        <v>18750</v>
      </c>
      <c r="M104" s="27">
        <v>0</v>
      </c>
      <c r="N104" s="32">
        <v>18750</v>
      </c>
      <c r="O104" s="37" t="s">
        <v>287</v>
      </c>
      <c r="P104" s="41">
        <v>0</v>
      </c>
      <c r="Q104" s="45"/>
    </row>
    <row r="105" spans="1:17" x14ac:dyDescent="0.25">
      <c r="A105" s="3" t="s">
        <v>160</v>
      </c>
      <c r="B105" s="17">
        <f>502.5</f>
        <v>502.5</v>
      </c>
      <c r="C105" s="17">
        <f>206</f>
        <v>206</v>
      </c>
      <c r="D105" s="17">
        <f>830</f>
        <v>830</v>
      </c>
      <c r="E105" s="17">
        <f>103</f>
        <v>103</v>
      </c>
      <c r="F105" s="17">
        <f>103</f>
        <v>103</v>
      </c>
      <c r="G105" s="16"/>
      <c r="H105" s="17">
        <f>642.23</f>
        <v>642.23</v>
      </c>
      <c r="I105" s="17">
        <f>51.5</f>
        <v>51.5</v>
      </c>
      <c r="J105" s="16"/>
      <c r="K105" s="17">
        <f>103</f>
        <v>103</v>
      </c>
      <c r="L105" s="22">
        <v>2541.23</v>
      </c>
      <c r="M105" s="27">
        <v>24668.300000000003</v>
      </c>
      <c r="N105" s="32">
        <v>-22127.070000000003</v>
      </c>
      <c r="O105" s="37">
        <v>0.10301601650701507</v>
      </c>
      <c r="P105" s="42">
        <v>29602.000000000004</v>
      </c>
      <c r="Q105" s="46">
        <f t="shared" si="13"/>
        <v>8.584656442132288E-2</v>
      </c>
    </row>
    <row r="106" spans="1:17" x14ac:dyDescent="0.25">
      <c r="A106" s="3" t="s">
        <v>159</v>
      </c>
      <c r="B106" s="18">
        <f t="shared" ref="B106:K106" si="15">(((B102)+(B103))+(B104))+(B105)</f>
        <v>23452.5</v>
      </c>
      <c r="C106" s="18">
        <f t="shared" si="15"/>
        <v>10231</v>
      </c>
      <c r="D106" s="18">
        <f t="shared" si="15"/>
        <v>3137.5</v>
      </c>
      <c r="E106" s="18">
        <f t="shared" si="15"/>
        <v>1118</v>
      </c>
      <c r="F106" s="18">
        <f t="shared" si="15"/>
        <v>103</v>
      </c>
      <c r="G106" s="18">
        <f t="shared" si="15"/>
        <v>9150</v>
      </c>
      <c r="H106" s="18">
        <f t="shared" si="15"/>
        <v>642.23</v>
      </c>
      <c r="I106" s="18">
        <f t="shared" si="15"/>
        <v>51.5</v>
      </c>
      <c r="J106" s="18">
        <f t="shared" si="15"/>
        <v>28735.11</v>
      </c>
      <c r="K106" s="18">
        <f t="shared" si="15"/>
        <v>103</v>
      </c>
      <c r="L106" s="23">
        <v>76723.839999999997</v>
      </c>
      <c r="M106" s="28">
        <v>78041.60000000002</v>
      </c>
      <c r="N106" s="33">
        <v>-1317.7600000000239</v>
      </c>
      <c r="O106" s="38">
        <v>0.98311464654748204</v>
      </c>
      <c r="P106" s="41">
        <v>93650.000000000029</v>
      </c>
      <c r="Q106" s="45">
        <f t="shared" si="13"/>
        <v>0.81926150560597943</v>
      </c>
    </row>
    <row r="107" spans="1:17" x14ac:dyDescent="0.25">
      <c r="A107" s="3" t="s">
        <v>158</v>
      </c>
      <c r="B107" s="17">
        <f>3217.02</f>
        <v>3217.02</v>
      </c>
      <c r="C107" s="17">
        <f>3282.89</f>
        <v>3282.89</v>
      </c>
      <c r="D107" s="17">
        <f>3477.08</f>
        <v>3477.08</v>
      </c>
      <c r="E107" s="17">
        <f>3659.92</f>
        <v>3659.92</v>
      </c>
      <c r="F107" s="17">
        <f>3259.87</f>
        <v>3259.87</v>
      </c>
      <c r="G107" s="17">
        <f>3315.28</f>
        <v>3315.28</v>
      </c>
      <c r="H107" s="17">
        <f>3315.28</f>
        <v>3315.28</v>
      </c>
      <c r="I107" s="17">
        <f>3048.25</f>
        <v>3048.25</v>
      </c>
      <c r="J107" s="17">
        <f>3190.28</f>
        <v>3190.28</v>
      </c>
      <c r="K107" s="16"/>
      <c r="L107" s="22">
        <v>29765.869999999995</v>
      </c>
      <c r="M107" s="27">
        <v>0</v>
      </c>
      <c r="N107" s="32">
        <v>29765.869999999995</v>
      </c>
      <c r="O107" s="37" t="s">
        <v>287</v>
      </c>
      <c r="P107" s="41">
        <v>0</v>
      </c>
      <c r="Q107" s="45"/>
    </row>
    <row r="108" spans="1:17" x14ac:dyDescent="0.25">
      <c r="A108" s="3" t="s">
        <v>157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7">
        <f>1541.2</f>
        <v>1541.2</v>
      </c>
      <c r="L108" s="22">
        <v>1541.2</v>
      </c>
      <c r="M108" s="27">
        <v>0</v>
      </c>
      <c r="N108" s="32">
        <v>1541.2</v>
      </c>
      <c r="O108" s="37" t="s">
        <v>287</v>
      </c>
      <c r="P108" s="41">
        <v>0</v>
      </c>
      <c r="Q108" s="45"/>
    </row>
    <row r="109" spans="1:17" x14ac:dyDescent="0.25">
      <c r="A109" s="3"/>
      <c r="B109" s="16"/>
      <c r="C109" s="16"/>
      <c r="D109" s="16"/>
      <c r="E109" s="16"/>
      <c r="F109" s="16"/>
      <c r="G109" s="16"/>
      <c r="H109" s="16"/>
      <c r="I109" s="16"/>
      <c r="J109" s="16"/>
      <c r="K109" s="17"/>
      <c r="L109" s="22"/>
      <c r="M109" s="27"/>
      <c r="N109" s="32"/>
      <c r="O109" s="37"/>
      <c r="P109" s="41">
        <v>0</v>
      </c>
      <c r="Q109" s="45"/>
    </row>
    <row r="110" spans="1:17" x14ac:dyDescent="0.25">
      <c r="A110" s="3" t="s">
        <v>155</v>
      </c>
      <c r="B110" s="16"/>
      <c r="C110" s="16"/>
      <c r="D110" s="16"/>
      <c r="E110" s="16"/>
      <c r="F110" s="16"/>
      <c r="G110" s="16"/>
      <c r="H110" s="17">
        <f>125</f>
        <v>125</v>
      </c>
      <c r="I110" s="16"/>
      <c r="J110" s="17">
        <f>125</f>
        <v>125</v>
      </c>
      <c r="K110" s="16"/>
      <c r="L110" s="22">
        <v>250</v>
      </c>
      <c r="M110" s="27">
        <v>0</v>
      </c>
      <c r="N110" s="32">
        <v>250</v>
      </c>
      <c r="O110" s="37" t="s">
        <v>287</v>
      </c>
      <c r="P110" s="41">
        <v>0</v>
      </c>
      <c r="Q110" s="45"/>
    </row>
    <row r="111" spans="1:17" x14ac:dyDescent="0.25">
      <c r="A111" s="3" t="s">
        <v>154</v>
      </c>
      <c r="B111" s="17">
        <f>1234.56</f>
        <v>1234.56</v>
      </c>
      <c r="C111" s="17">
        <f>468.49</f>
        <v>468.49</v>
      </c>
      <c r="D111" s="17">
        <f>1964.37</f>
        <v>1964.37</v>
      </c>
      <c r="E111" s="17">
        <f>1191.01</f>
        <v>1191.01</v>
      </c>
      <c r="F111" s="16"/>
      <c r="G111" s="17">
        <f>1659.96</f>
        <v>1659.96</v>
      </c>
      <c r="H111" s="17">
        <f>2474.44</f>
        <v>2474.44</v>
      </c>
      <c r="I111" s="17">
        <f>1576.73</f>
        <v>1576.73</v>
      </c>
      <c r="J111" s="17">
        <f>2451.51</f>
        <v>2451.5100000000002</v>
      </c>
      <c r="K111" s="17">
        <f>271.55</f>
        <v>271.55</v>
      </c>
      <c r="L111" s="22">
        <v>13292.619999999999</v>
      </c>
      <c r="M111" s="27">
        <v>0</v>
      </c>
      <c r="N111" s="32">
        <v>13292.619999999999</v>
      </c>
      <c r="O111" s="37" t="s">
        <v>287</v>
      </c>
      <c r="P111" s="41">
        <v>0</v>
      </c>
      <c r="Q111" s="45"/>
    </row>
    <row r="112" spans="1:17" x14ac:dyDescent="0.25">
      <c r="A112" s="3" t="s">
        <v>153</v>
      </c>
      <c r="B112" s="16"/>
      <c r="C112" s="16"/>
      <c r="D112" s="17">
        <f>97.16</f>
        <v>97.16</v>
      </c>
      <c r="E112" s="16"/>
      <c r="F112" s="16"/>
      <c r="G112" s="16"/>
      <c r="H112" s="17">
        <f>758.63</f>
        <v>758.63</v>
      </c>
      <c r="I112" s="16"/>
      <c r="J112" s="17">
        <f>943.37</f>
        <v>943.37</v>
      </c>
      <c r="K112" s="17">
        <f>496.07</f>
        <v>496.07</v>
      </c>
      <c r="L112" s="22">
        <v>2295.23</v>
      </c>
      <c r="M112" s="27">
        <v>0</v>
      </c>
      <c r="N112" s="32">
        <v>2295.23</v>
      </c>
      <c r="O112" s="37" t="s">
        <v>287</v>
      </c>
      <c r="P112" s="42">
        <v>0</v>
      </c>
      <c r="Q112" s="46"/>
    </row>
    <row r="113" spans="1:17" x14ac:dyDescent="0.25">
      <c r="A113" s="3" t="s">
        <v>152</v>
      </c>
      <c r="B113" s="18">
        <f t="shared" ref="B113:K113" si="16">(((B108)+(B110))+(B111))+(B112)</f>
        <v>1234.56</v>
      </c>
      <c r="C113" s="18">
        <f t="shared" si="16"/>
        <v>468.49</v>
      </c>
      <c r="D113" s="18">
        <f t="shared" si="16"/>
        <v>2061.5299999999997</v>
      </c>
      <c r="E113" s="18">
        <f t="shared" si="16"/>
        <v>1191.01</v>
      </c>
      <c r="F113" s="18">
        <f t="shared" si="16"/>
        <v>0</v>
      </c>
      <c r="G113" s="18">
        <f t="shared" si="16"/>
        <v>1659.96</v>
      </c>
      <c r="H113" s="18">
        <f t="shared" si="16"/>
        <v>3358.07</v>
      </c>
      <c r="I113" s="18">
        <f t="shared" si="16"/>
        <v>1576.73</v>
      </c>
      <c r="J113" s="18">
        <f t="shared" si="16"/>
        <v>3519.88</v>
      </c>
      <c r="K113" s="18">
        <f t="shared" si="16"/>
        <v>2308.8200000000002</v>
      </c>
      <c r="L113" s="23">
        <v>17379.05</v>
      </c>
      <c r="M113" s="28">
        <v>0</v>
      </c>
      <c r="N113" s="33">
        <v>17379.05</v>
      </c>
      <c r="O113" s="38" t="s">
        <v>287</v>
      </c>
      <c r="P113" s="41">
        <v>0</v>
      </c>
      <c r="Q113" s="45"/>
    </row>
    <row r="114" spans="1:17" x14ac:dyDescent="0.25">
      <c r="A114" s="3" t="s">
        <v>151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22">
        <v>0</v>
      </c>
      <c r="M114" s="27">
        <v>0</v>
      </c>
      <c r="N114" s="32">
        <v>0</v>
      </c>
      <c r="O114" s="37" t="s">
        <v>287</v>
      </c>
      <c r="P114" s="41">
        <v>0</v>
      </c>
      <c r="Q114" s="45"/>
    </row>
    <row r="115" spans="1:17" x14ac:dyDescent="0.25">
      <c r="A115" s="3" t="s">
        <v>150</v>
      </c>
      <c r="B115" s="16"/>
      <c r="C115" s="16"/>
      <c r="D115" s="16"/>
      <c r="E115" s="16"/>
      <c r="F115" s="16"/>
      <c r="G115" s="16"/>
      <c r="H115" s="16"/>
      <c r="I115" s="17">
        <f>143.78</f>
        <v>143.78</v>
      </c>
      <c r="J115" s="16"/>
      <c r="K115" s="16"/>
      <c r="L115" s="22">
        <v>143.78</v>
      </c>
      <c r="M115" s="27">
        <v>333.34</v>
      </c>
      <c r="N115" s="32">
        <v>-189.55999999999997</v>
      </c>
      <c r="O115" s="37">
        <v>0.43133137337253258</v>
      </c>
      <c r="P115" s="41">
        <v>499.99999999999994</v>
      </c>
      <c r="Q115" s="45">
        <f t="shared" si="13"/>
        <v>0.28756000000000004</v>
      </c>
    </row>
    <row r="116" spans="1:17" x14ac:dyDescent="0.25">
      <c r="A116" s="3" t="s">
        <v>149</v>
      </c>
      <c r="B116" s="16"/>
      <c r="C116" s="17">
        <f>58.36</f>
        <v>58.36</v>
      </c>
      <c r="D116" s="17">
        <f>61.83</f>
        <v>61.83</v>
      </c>
      <c r="E116" s="16"/>
      <c r="F116" s="17">
        <f>9.96</f>
        <v>9.9600000000000009</v>
      </c>
      <c r="G116" s="16"/>
      <c r="H116" s="16"/>
      <c r="I116" s="16"/>
      <c r="J116" s="16"/>
      <c r="K116" s="16"/>
      <c r="L116" s="22">
        <v>130.15</v>
      </c>
      <c r="M116" s="27">
        <v>0</v>
      </c>
      <c r="N116" s="32">
        <v>130.15</v>
      </c>
      <c r="O116" s="37" t="s">
        <v>287</v>
      </c>
      <c r="P116" s="42">
        <v>0</v>
      </c>
      <c r="Q116" s="46"/>
    </row>
    <row r="117" spans="1:17" x14ac:dyDescent="0.25">
      <c r="A117" s="3" t="s">
        <v>148</v>
      </c>
      <c r="B117" s="18">
        <f t="shared" ref="B117:K117" si="17">((B114)+(B115))+(B116)</f>
        <v>0</v>
      </c>
      <c r="C117" s="18">
        <f t="shared" si="17"/>
        <v>58.36</v>
      </c>
      <c r="D117" s="18">
        <f t="shared" si="17"/>
        <v>61.83</v>
      </c>
      <c r="E117" s="18">
        <f t="shared" si="17"/>
        <v>0</v>
      </c>
      <c r="F117" s="18">
        <f t="shared" si="17"/>
        <v>9.9600000000000009</v>
      </c>
      <c r="G117" s="18">
        <f t="shared" si="17"/>
        <v>0</v>
      </c>
      <c r="H117" s="18">
        <f t="shared" si="17"/>
        <v>0</v>
      </c>
      <c r="I117" s="18">
        <f t="shared" si="17"/>
        <v>143.78</v>
      </c>
      <c r="J117" s="18">
        <f t="shared" si="17"/>
        <v>0</v>
      </c>
      <c r="K117" s="18">
        <f t="shared" si="17"/>
        <v>0</v>
      </c>
      <c r="L117" s="23">
        <v>273.93</v>
      </c>
      <c r="M117" s="28">
        <v>333.34</v>
      </c>
      <c r="N117" s="33">
        <v>-59.409999999999968</v>
      </c>
      <c r="O117" s="38">
        <v>0.82177356452870953</v>
      </c>
      <c r="P117" s="41">
        <v>499.99999999999994</v>
      </c>
      <c r="Q117" s="45">
        <f t="shared" si="13"/>
        <v>0.54786000000000012</v>
      </c>
    </row>
    <row r="118" spans="1:17" x14ac:dyDescent="0.25">
      <c r="A118" s="3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24"/>
      <c r="M118" s="29"/>
      <c r="N118" s="34"/>
      <c r="O118" s="39"/>
      <c r="P118" s="41">
        <v>0</v>
      </c>
      <c r="Q118" s="45"/>
    </row>
    <row r="119" spans="1:17" x14ac:dyDescent="0.25">
      <c r="A119" s="3" t="s">
        <v>146</v>
      </c>
      <c r="B119" s="17">
        <f>0</f>
        <v>0</v>
      </c>
      <c r="C119" s="16"/>
      <c r="D119" s="17">
        <f>195.9</f>
        <v>195.9</v>
      </c>
      <c r="E119" s="17">
        <f>0</f>
        <v>0</v>
      </c>
      <c r="F119" s="16"/>
      <c r="G119" s="17">
        <f>377.78</f>
        <v>377.78</v>
      </c>
      <c r="H119" s="17">
        <f>83.95</f>
        <v>83.95</v>
      </c>
      <c r="I119" s="17">
        <f>7289.39</f>
        <v>7289.39</v>
      </c>
      <c r="J119" s="17">
        <f>1515.22</f>
        <v>1515.22</v>
      </c>
      <c r="K119" s="17">
        <f>292.36</f>
        <v>292.36</v>
      </c>
      <c r="L119" s="22">
        <v>9754.6</v>
      </c>
      <c r="M119" s="27">
        <v>0</v>
      </c>
      <c r="N119" s="32">
        <v>9754.6</v>
      </c>
      <c r="O119" s="37" t="s">
        <v>287</v>
      </c>
      <c r="P119" s="41">
        <v>0</v>
      </c>
      <c r="Q119" s="45"/>
    </row>
    <row r="120" spans="1:17" x14ac:dyDescent="0.25">
      <c r="A120" s="3" t="s">
        <v>145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7">
        <f>6400.33</f>
        <v>6400.33</v>
      </c>
      <c r="L120" s="22">
        <v>6400.33</v>
      </c>
      <c r="M120" s="27">
        <v>0</v>
      </c>
      <c r="N120" s="32">
        <v>6400.33</v>
      </c>
      <c r="O120" s="37" t="s">
        <v>287</v>
      </c>
      <c r="P120" s="41">
        <v>0</v>
      </c>
      <c r="Q120" s="45"/>
    </row>
    <row r="121" spans="1:17" x14ac:dyDescent="0.25">
      <c r="A121" s="3" t="s">
        <v>144</v>
      </c>
      <c r="B121" s="16"/>
      <c r="C121" s="17">
        <f>2069.15</f>
        <v>2069.15</v>
      </c>
      <c r="D121" s="16"/>
      <c r="E121" s="16"/>
      <c r="F121" s="16"/>
      <c r="G121" s="16"/>
      <c r="H121" s="16"/>
      <c r="I121" s="16"/>
      <c r="J121" s="17">
        <f>228</f>
        <v>228</v>
      </c>
      <c r="K121" s="16"/>
      <c r="L121" s="22">
        <v>2297.15</v>
      </c>
      <c r="M121" s="27">
        <v>0</v>
      </c>
      <c r="N121" s="32">
        <v>2297.15</v>
      </c>
      <c r="O121" s="37" t="s">
        <v>287</v>
      </c>
      <c r="P121" s="41">
        <v>0</v>
      </c>
      <c r="Q121" s="45"/>
    </row>
    <row r="122" spans="1:17" x14ac:dyDescent="0.25">
      <c r="A122" s="3" t="s">
        <v>143</v>
      </c>
      <c r="B122" s="16"/>
      <c r="C122" s="17">
        <f>662.9</f>
        <v>662.9</v>
      </c>
      <c r="D122" s="16"/>
      <c r="E122" s="16"/>
      <c r="F122" s="16"/>
      <c r="G122" s="16"/>
      <c r="H122" s="16"/>
      <c r="I122" s="17">
        <f>142.03</f>
        <v>142.03</v>
      </c>
      <c r="J122" s="16"/>
      <c r="K122" s="16"/>
      <c r="L122" s="22">
        <v>804.93</v>
      </c>
      <c r="M122" s="27">
        <v>0</v>
      </c>
      <c r="N122" s="32">
        <v>804.93</v>
      </c>
      <c r="O122" s="37" t="s">
        <v>287</v>
      </c>
      <c r="P122" s="41">
        <v>0</v>
      </c>
      <c r="Q122" s="45"/>
    </row>
    <row r="123" spans="1:17" x14ac:dyDescent="0.25">
      <c r="A123" s="3" t="s">
        <v>142</v>
      </c>
      <c r="B123" s="17">
        <f>614.98</f>
        <v>614.98</v>
      </c>
      <c r="C123" s="17">
        <f>506.74</f>
        <v>506.74</v>
      </c>
      <c r="D123" s="17">
        <f>64.03</f>
        <v>64.03</v>
      </c>
      <c r="E123" s="16"/>
      <c r="F123" s="17">
        <f>669.71</f>
        <v>669.71</v>
      </c>
      <c r="G123" s="17">
        <f>139.55</f>
        <v>139.55000000000001</v>
      </c>
      <c r="H123" s="16"/>
      <c r="I123" s="17">
        <f>16.25</f>
        <v>16.25</v>
      </c>
      <c r="J123" s="17">
        <f>1249.56</f>
        <v>1249.56</v>
      </c>
      <c r="K123" s="17">
        <f>302.21</f>
        <v>302.20999999999998</v>
      </c>
      <c r="L123" s="22">
        <v>3563.0299999999997</v>
      </c>
      <c r="M123" s="27">
        <v>0</v>
      </c>
      <c r="N123" s="32">
        <v>3563.0299999999997</v>
      </c>
      <c r="O123" s="37" t="s">
        <v>287</v>
      </c>
      <c r="P123" s="41">
        <v>0</v>
      </c>
      <c r="Q123" s="45"/>
    </row>
    <row r="124" spans="1:17" x14ac:dyDescent="0.25">
      <c r="A124" s="3" t="s">
        <v>141</v>
      </c>
      <c r="B124" s="17">
        <f>1705.49</f>
        <v>1705.49</v>
      </c>
      <c r="C124" s="16"/>
      <c r="D124" s="17">
        <f>1797.73</f>
        <v>1797.73</v>
      </c>
      <c r="E124" s="17">
        <f>1566.78</f>
        <v>1566.78</v>
      </c>
      <c r="F124" s="17">
        <f>1792.63</f>
        <v>1792.63</v>
      </c>
      <c r="G124" s="17">
        <f>1789.53</f>
        <v>1789.53</v>
      </c>
      <c r="H124" s="17">
        <f>1733.88</f>
        <v>1733.88</v>
      </c>
      <c r="I124" s="16"/>
      <c r="J124" s="17">
        <f>1752.33</f>
        <v>1752.33</v>
      </c>
      <c r="K124" s="17">
        <f>2037.88</f>
        <v>2037.88</v>
      </c>
      <c r="L124" s="22">
        <v>14176.25</v>
      </c>
      <c r="M124" s="27">
        <v>0</v>
      </c>
      <c r="N124" s="32">
        <v>14176.25</v>
      </c>
      <c r="O124" s="37" t="s">
        <v>287</v>
      </c>
      <c r="P124" s="41">
        <v>0</v>
      </c>
      <c r="Q124" s="45"/>
    </row>
    <row r="125" spans="1:17" x14ac:dyDescent="0.25">
      <c r="A125" s="3" t="s">
        <v>140</v>
      </c>
      <c r="B125" s="17">
        <f>-16.4</f>
        <v>-16.399999999999999</v>
      </c>
      <c r="C125" s="17">
        <f>-16.27</f>
        <v>-16.27</v>
      </c>
      <c r="D125" s="17">
        <f>179.36</f>
        <v>179.36</v>
      </c>
      <c r="E125" s="17">
        <f>16.86</f>
        <v>16.86</v>
      </c>
      <c r="F125" s="17">
        <f>0.36</f>
        <v>0.36</v>
      </c>
      <c r="G125" s="17">
        <f>0.36</f>
        <v>0.36</v>
      </c>
      <c r="H125" s="17">
        <f>16.86</f>
        <v>16.86</v>
      </c>
      <c r="I125" s="17">
        <f>-313.14</f>
        <v>-313.14</v>
      </c>
      <c r="J125" s="17">
        <f>0</f>
        <v>0</v>
      </c>
      <c r="K125" s="17">
        <f>4899.5</f>
        <v>4899.5</v>
      </c>
      <c r="L125" s="22">
        <v>4767.49</v>
      </c>
      <c r="M125" s="27">
        <v>0</v>
      </c>
      <c r="N125" s="32">
        <v>4767.49</v>
      </c>
      <c r="O125" s="37" t="s">
        <v>287</v>
      </c>
      <c r="P125" s="41">
        <v>0</v>
      </c>
      <c r="Q125" s="45"/>
    </row>
    <row r="126" spans="1:17" x14ac:dyDescent="0.25">
      <c r="A126" s="3" t="s">
        <v>139</v>
      </c>
      <c r="B126" s="16"/>
      <c r="C126" s="16"/>
      <c r="D126" s="16"/>
      <c r="E126" s="16"/>
      <c r="F126" s="16"/>
      <c r="G126" s="16"/>
      <c r="H126" s="16"/>
      <c r="I126" s="17">
        <f>800</f>
        <v>800</v>
      </c>
      <c r="J126" s="16"/>
      <c r="K126" s="16"/>
      <c r="L126" s="22">
        <v>800</v>
      </c>
      <c r="M126" s="27">
        <v>0</v>
      </c>
      <c r="N126" s="32">
        <v>800</v>
      </c>
      <c r="O126" s="37" t="s">
        <v>287</v>
      </c>
      <c r="P126" s="41">
        <v>0</v>
      </c>
      <c r="Q126" s="45"/>
    </row>
    <row r="127" spans="1:17" x14ac:dyDescent="0.25">
      <c r="A127" s="3" t="s">
        <v>138</v>
      </c>
      <c r="B127" s="17">
        <f>244.45</f>
        <v>244.45</v>
      </c>
      <c r="C127" s="17">
        <f>1927.47</f>
        <v>1927.47</v>
      </c>
      <c r="D127" s="17">
        <f>5.2</f>
        <v>5.2</v>
      </c>
      <c r="E127" s="17">
        <f>0.5</f>
        <v>0.5</v>
      </c>
      <c r="F127" s="17">
        <f>72.7</f>
        <v>72.7</v>
      </c>
      <c r="G127" s="16"/>
      <c r="H127" s="17">
        <f>1.98</f>
        <v>1.98</v>
      </c>
      <c r="I127" s="16"/>
      <c r="J127" s="16"/>
      <c r="K127" s="16"/>
      <c r="L127" s="22">
        <v>2252.2999999999997</v>
      </c>
      <c r="M127" s="27">
        <v>350</v>
      </c>
      <c r="N127" s="32">
        <v>1902.2999999999997</v>
      </c>
      <c r="O127" s="37">
        <v>6.4351428571428562</v>
      </c>
      <c r="P127" s="41">
        <v>420</v>
      </c>
      <c r="Q127" s="45">
        <f t="shared" si="13"/>
        <v>5.362619047619047</v>
      </c>
    </row>
    <row r="128" spans="1:17" x14ac:dyDescent="0.25">
      <c r="A128" s="3" t="s">
        <v>137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22">
        <v>0</v>
      </c>
      <c r="M128" s="27">
        <v>9650</v>
      </c>
      <c r="N128" s="32">
        <v>-9650</v>
      </c>
      <c r="O128" s="37">
        <v>0</v>
      </c>
      <c r="P128" s="41">
        <v>11580</v>
      </c>
      <c r="Q128" s="45">
        <f t="shared" si="13"/>
        <v>0</v>
      </c>
    </row>
    <row r="129" spans="1:17" x14ac:dyDescent="0.25">
      <c r="A129" s="3" t="s">
        <v>136</v>
      </c>
      <c r="B129" s="18">
        <f t="shared" ref="B129:K129" si="18">(((((B123)+(B124))+(B125))+(B126))+(B127))+(B128)</f>
        <v>2548.52</v>
      </c>
      <c r="C129" s="18">
        <f t="shared" si="18"/>
        <v>2417.94</v>
      </c>
      <c r="D129" s="18">
        <f t="shared" si="18"/>
        <v>2046.32</v>
      </c>
      <c r="E129" s="18">
        <f t="shared" si="18"/>
        <v>1584.1399999999999</v>
      </c>
      <c r="F129" s="18">
        <f t="shared" si="18"/>
        <v>2535.4</v>
      </c>
      <c r="G129" s="18">
        <f t="shared" si="18"/>
        <v>1929.4399999999998</v>
      </c>
      <c r="H129" s="18">
        <f t="shared" si="18"/>
        <v>1752.72</v>
      </c>
      <c r="I129" s="18">
        <f t="shared" si="18"/>
        <v>503.11</v>
      </c>
      <c r="J129" s="18">
        <f t="shared" si="18"/>
        <v>3001.89</v>
      </c>
      <c r="K129" s="18">
        <f t="shared" si="18"/>
        <v>7239.59</v>
      </c>
      <c r="L129" s="23">
        <v>25559.07</v>
      </c>
      <c r="M129" s="28">
        <v>10000</v>
      </c>
      <c r="N129" s="33">
        <v>15559.07</v>
      </c>
      <c r="O129" s="38">
        <v>2.5559069999999999</v>
      </c>
      <c r="P129" s="42">
        <v>12000</v>
      </c>
      <c r="Q129" s="46">
        <f t="shared" si="13"/>
        <v>2.1299225000000002</v>
      </c>
    </row>
    <row r="130" spans="1:17" x14ac:dyDescent="0.25">
      <c r="A130" s="3" t="s">
        <v>135</v>
      </c>
      <c r="B130" s="18">
        <f t="shared" ref="B130:K130" si="19">(((((((((((((((((((B91)+(B92))+(B93))+(B94))+(B95))+(B96))+(B97))+(B98))+(B99))+(B100))+(B101))+(B106))+(B107))+(B113))+(B117))+(B119))+(B120))+(B121))+(B122))+(B129)</f>
        <v>64493.819999999992</v>
      </c>
      <c r="C130" s="18">
        <f t="shared" si="19"/>
        <v>51306.810000000005</v>
      </c>
      <c r="D130" s="18">
        <f t="shared" si="19"/>
        <v>47761.750000000007</v>
      </c>
      <c r="E130" s="18">
        <f t="shared" si="19"/>
        <v>35440.129999999997</v>
      </c>
      <c r="F130" s="18">
        <f t="shared" si="19"/>
        <v>31654.03</v>
      </c>
      <c r="G130" s="18">
        <f t="shared" si="19"/>
        <v>44956.409999999996</v>
      </c>
      <c r="H130" s="18">
        <f t="shared" si="19"/>
        <v>48779.12</v>
      </c>
      <c r="I130" s="18">
        <f t="shared" si="19"/>
        <v>51135.640000000007</v>
      </c>
      <c r="J130" s="18">
        <f t="shared" si="19"/>
        <v>92893.05</v>
      </c>
      <c r="K130" s="18">
        <f t="shared" si="19"/>
        <v>55200.479999999996</v>
      </c>
      <c r="L130" s="23">
        <v>523621.24</v>
      </c>
      <c r="M130" s="28">
        <v>500834.24</v>
      </c>
      <c r="N130" s="33">
        <v>22787</v>
      </c>
      <c r="O130" s="38">
        <v>1.0454980873512163</v>
      </c>
      <c r="P130" s="41">
        <v>607484</v>
      </c>
      <c r="Q130" s="45">
        <f t="shared" si="13"/>
        <v>0.86195066865958603</v>
      </c>
    </row>
    <row r="131" spans="1:17" x14ac:dyDescent="0.25">
      <c r="A131" s="3" t="s">
        <v>134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22">
        <v>0</v>
      </c>
      <c r="M131" s="27">
        <v>0</v>
      </c>
      <c r="N131" s="32">
        <v>0</v>
      </c>
      <c r="O131" s="37" t="s">
        <v>287</v>
      </c>
      <c r="P131" s="41">
        <v>0</v>
      </c>
      <c r="Q131" s="45"/>
    </row>
    <row r="132" spans="1:17" x14ac:dyDescent="0.25">
      <c r="A132" s="3" t="s">
        <v>133</v>
      </c>
      <c r="B132" s="17">
        <f>5702.34</f>
        <v>5702.34</v>
      </c>
      <c r="C132" s="17">
        <f>11404.68</f>
        <v>11404.68</v>
      </c>
      <c r="D132" s="17">
        <f>11404.68</f>
        <v>11404.68</v>
      </c>
      <c r="E132" s="17">
        <f>11404.68</f>
        <v>11404.68</v>
      </c>
      <c r="F132" s="17">
        <f>11404.68</f>
        <v>11404.68</v>
      </c>
      <c r="G132" s="17">
        <f>11904.68</f>
        <v>11904.68</v>
      </c>
      <c r="H132" s="17">
        <f>12663.84</f>
        <v>12663.84</v>
      </c>
      <c r="I132" s="17">
        <f>11893.56</f>
        <v>11893.56</v>
      </c>
      <c r="J132" s="17">
        <f>12908.27</f>
        <v>12908.27</v>
      </c>
      <c r="K132" s="17">
        <f>11893.56</f>
        <v>11893.56</v>
      </c>
      <c r="L132" s="22">
        <v>112584.97</v>
      </c>
      <c r="M132" s="27">
        <v>148213.29999999999</v>
      </c>
      <c r="N132" s="32">
        <v>-35628.329999999987</v>
      </c>
      <c r="O132" s="37">
        <v>0.75961448803852294</v>
      </c>
      <c r="P132" s="41">
        <v>177855.99999999997</v>
      </c>
      <c r="Q132" s="45">
        <f t="shared" si="13"/>
        <v>0.63301193100035991</v>
      </c>
    </row>
    <row r="133" spans="1:17" x14ac:dyDescent="0.25">
      <c r="A133" s="3" t="s">
        <v>132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7">
        <f>-713.6</f>
        <v>-713.6</v>
      </c>
      <c r="L133" s="22">
        <v>-713.6</v>
      </c>
      <c r="M133" s="27">
        <v>0</v>
      </c>
      <c r="N133" s="32">
        <v>-713.6</v>
      </c>
      <c r="O133" s="37" t="s">
        <v>287</v>
      </c>
      <c r="P133" s="41">
        <v>0</v>
      </c>
      <c r="Q133" s="45"/>
    </row>
    <row r="134" spans="1:17" x14ac:dyDescent="0.25">
      <c r="A134" s="3" t="s">
        <v>131</v>
      </c>
      <c r="B134" s="16"/>
      <c r="C134" s="16"/>
      <c r="D134" s="17">
        <f>1700</f>
        <v>1700</v>
      </c>
      <c r="E134" s="17">
        <f>5000</f>
        <v>5000</v>
      </c>
      <c r="F134" s="16"/>
      <c r="G134" s="17">
        <f>3187.5</f>
        <v>3187.5</v>
      </c>
      <c r="H134" s="17">
        <f>1829.38</f>
        <v>1829.38</v>
      </c>
      <c r="I134" s="16"/>
      <c r="J134" s="16"/>
      <c r="K134" s="17">
        <f>180</f>
        <v>180</v>
      </c>
      <c r="L134" s="22">
        <v>11896.880000000001</v>
      </c>
      <c r="M134" s="27">
        <v>1668</v>
      </c>
      <c r="N134" s="32">
        <v>10228.880000000001</v>
      </c>
      <c r="O134" s="37">
        <v>7.1324220623501207</v>
      </c>
      <c r="P134" s="41">
        <v>2780</v>
      </c>
      <c r="Q134" s="45">
        <f t="shared" si="13"/>
        <v>4.2794532374100722</v>
      </c>
    </row>
    <row r="135" spans="1:17" x14ac:dyDescent="0.25">
      <c r="A135" s="3" t="s">
        <v>130</v>
      </c>
      <c r="B135" s="16"/>
      <c r="C135" s="17">
        <f>132.5</f>
        <v>132.5</v>
      </c>
      <c r="D135" s="17">
        <f>106</f>
        <v>106</v>
      </c>
      <c r="E135" s="16"/>
      <c r="F135" s="17">
        <f>995</f>
        <v>995</v>
      </c>
      <c r="G135" s="17">
        <f>1148</f>
        <v>1148</v>
      </c>
      <c r="H135" s="16"/>
      <c r="I135" s="17">
        <f>424</f>
        <v>424</v>
      </c>
      <c r="J135" s="17">
        <f>522.5</f>
        <v>522.5</v>
      </c>
      <c r="K135" s="17">
        <f>1127.5</f>
        <v>1127.5</v>
      </c>
      <c r="L135" s="22">
        <v>4455.5</v>
      </c>
      <c r="M135" s="27">
        <v>20833.300000000003</v>
      </c>
      <c r="N135" s="32">
        <v>-16377.800000000003</v>
      </c>
      <c r="O135" s="37">
        <v>0.21386434218294748</v>
      </c>
      <c r="P135" s="41">
        <v>25000.000000000004</v>
      </c>
      <c r="Q135" s="45">
        <f t="shared" si="13"/>
        <v>0.17821999999999996</v>
      </c>
    </row>
    <row r="136" spans="1:17" x14ac:dyDescent="0.25">
      <c r="A136" s="3" t="s">
        <v>129</v>
      </c>
      <c r="B136" s="16"/>
      <c r="C136" s="16"/>
      <c r="D136" s="16"/>
      <c r="E136" s="16"/>
      <c r="F136" s="16"/>
      <c r="G136" s="16"/>
      <c r="H136" s="16"/>
      <c r="I136" s="17">
        <f>2327.74</f>
        <v>2327.7399999999998</v>
      </c>
      <c r="J136" s="16"/>
      <c r="K136" s="16"/>
      <c r="L136" s="22">
        <v>2327.7399999999998</v>
      </c>
      <c r="M136" s="27">
        <v>0</v>
      </c>
      <c r="N136" s="32">
        <v>2327.7399999999998</v>
      </c>
      <c r="O136" s="37" t="s">
        <v>287</v>
      </c>
      <c r="P136" s="41">
        <v>0</v>
      </c>
      <c r="Q136" s="45"/>
    </row>
    <row r="137" spans="1:17" x14ac:dyDescent="0.25">
      <c r="A137" s="3" t="s">
        <v>128</v>
      </c>
      <c r="B137" s="16"/>
      <c r="C137" s="16"/>
      <c r="D137" s="16"/>
      <c r="E137" s="17">
        <f>12500</f>
        <v>12500</v>
      </c>
      <c r="F137" s="16"/>
      <c r="G137" s="16"/>
      <c r="H137" s="16"/>
      <c r="I137" s="16"/>
      <c r="J137" s="16"/>
      <c r="K137" s="16"/>
      <c r="L137" s="22">
        <v>12500</v>
      </c>
      <c r="M137" s="27">
        <v>10416.6</v>
      </c>
      <c r="N137" s="32">
        <v>2083.3999999999996</v>
      </c>
      <c r="O137" s="37">
        <v>1.2000076800491524</v>
      </c>
      <c r="P137" s="41">
        <v>20500.000000000004</v>
      </c>
      <c r="Q137" s="45">
        <f t="shared" si="13"/>
        <v>0.60975609756097549</v>
      </c>
    </row>
    <row r="138" spans="1:17" x14ac:dyDescent="0.25">
      <c r="A138" s="3" t="s">
        <v>127</v>
      </c>
      <c r="B138" s="16"/>
      <c r="C138" s="16"/>
      <c r="D138" s="16"/>
      <c r="E138" s="16"/>
      <c r="F138" s="17">
        <f>172.5</f>
        <v>172.5</v>
      </c>
      <c r="G138" s="16"/>
      <c r="H138" s="16"/>
      <c r="I138" s="17">
        <f>3160.94</f>
        <v>3160.94</v>
      </c>
      <c r="J138" s="17">
        <f>5843.75</f>
        <v>5843.75</v>
      </c>
      <c r="K138" s="16"/>
      <c r="L138" s="22">
        <v>9177.19</v>
      </c>
      <c r="M138" s="27">
        <v>3360</v>
      </c>
      <c r="N138" s="32">
        <v>5817.1900000000005</v>
      </c>
      <c r="O138" s="37">
        <v>2.7313065476190479</v>
      </c>
      <c r="P138" s="41">
        <v>3360</v>
      </c>
      <c r="Q138" s="45">
        <f t="shared" si="13"/>
        <v>2.7313065476190479</v>
      </c>
    </row>
    <row r="139" spans="1:17" x14ac:dyDescent="0.25">
      <c r="A139" s="3" t="s">
        <v>126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22">
        <v>0</v>
      </c>
      <c r="M139" s="27">
        <v>900</v>
      </c>
      <c r="N139" s="32">
        <v>-900</v>
      </c>
      <c r="O139" s="37">
        <v>0</v>
      </c>
      <c r="P139" s="42">
        <v>1080</v>
      </c>
      <c r="Q139" s="46">
        <f t="shared" si="13"/>
        <v>0</v>
      </c>
    </row>
    <row r="140" spans="1:17" x14ac:dyDescent="0.25">
      <c r="A140" s="3" t="s">
        <v>125</v>
      </c>
      <c r="B140" s="18">
        <f t="shared" ref="B140:K140" si="20">(((((B134)+(B135))+(B136))+(B137))+(B138))+(B139)</f>
        <v>0</v>
      </c>
      <c r="C140" s="18">
        <f t="shared" si="20"/>
        <v>132.5</v>
      </c>
      <c r="D140" s="18">
        <f t="shared" si="20"/>
        <v>1806</v>
      </c>
      <c r="E140" s="18">
        <f t="shared" si="20"/>
        <v>17500</v>
      </c>
      <c r="F140" s="18">
        <f t="shared" si="20"/>
        <v>1167.5</v>
      </c>
      <c r="G140" s="18">
        <f t="shared" si="20"/>
        <v>4335.5</v>
      </c>
      <c r="H140" s="18">
        <f t="shared" si="20"/>
        <v>1829.38</v>
      </c>
      <c r="I140" s="18">
        <f t="shared" si="20"/>
        <v>5912.68</v>
      </c>
      <c r="J140" s="18">
        <f t="shared" si="20"/>
        <v>6366.25</v>
      </c>
      <c r="K140" s="18">
        <f t="shared" si="20"/>
        <v>1307.5</v>
      </c>
      <c r="L140" s="23">
        <v>40357.31</v>
      </c>
      <c r="M140" s="28">
        <v>37177.899999999994</v>
      </c>
      <c r="N140" s="33">
        <v>3179.4100000000035</v>
      </c>
      <c r="O140" s="38">
        <v>1.0855188162860194</v>
      </c>
      <c r="P140" s="41">
        <v>52719.999999999993</v>
      </c>
      <c r="Q140" s="45">
        <f t="shared" si="13"/>
        <v>0.76550284522003043</v>
      </c>
    </row>
    <row r="141" spans="1:17" x14ac:dyDescent="0.25">
      <c r="A141" s="3" t="s">
        <v>124</v>
      </c>
      <c r="B141" s="16"/>
      <c r="C141" s="16"/>
      <c r="D141" s="17">
        <f>107.42</f>
        <v>107.42</v>
      </c>
      <c r="E141" s="17">
        <f>189.39</f>
        <v>189.39</v>
      </c>
      <c r="F141" s="16"/>
      <c r="G141" s="16"/>
      <c r="H141" s="17">
        <f>665.85</f>
        <v>665.85</v>
      </c>
      <c r="I141" s="17">
        <f>791.36</f>
        <v>791.36</v>
      </c>
      <c r="J141" s="17">
        <f>165</f>
        <v>165</v>
      </c>
      <c r="K141" s="17">
        <f>204.87</f>
        <v>204.87</v>
      </c>
      <c r="L141" s="22">
        <v>2123.89</v>
      </c>
      <c r="M141" s="27">
        <v>0</v>
      </c>
      <c r="N141" s="32">
        <v>2123.89</v>
      </c>
      <c r="O141" s="37" t="s">
        <v>287</v>
      </c>
      <c r="P141" s="41">
        <v>0</v>
      </c>
      <c r="Q141" s="45"/>
    </row>
    <row r="142" spans="1:17" x14ac:dyDescent="0.25">
      <c r="A142" s="3"/>
      <c r="B142" s="16"/>
      <c r="C142" s="16"/>
      <c r="D142" s="17"/>
      <c r="E142" s="17"/>
      <c r="F142" s="16"/>
      <c r="G142" s="16"/>
      <c r="H142" s="17"/>
      <c r="I142" s="17"/>
      <c r="J142" s="17"/>
      <c r="K142" s="17"/>
      <c r="L142" s="22"/>
      <c r="M142" s="27"/>
      <c r="N142" s="32"/>
      <c r="O142" s="37"/>
      <c r="P142" s="41">
        <v>0</v>
      </c>
      <c r="Q142" s="45"/>
    </row>
    <row r="143" spans="1:17" x14ac:dyDescent="0.25">
      <c r="A143" s="3" t="s">
        <v>122</v>
      </c>
      <c r="B143" s="16"/>
      <c r="C143" s="16"/>
      <c r="D143" s="16"/>
      <c r="E143" s="16"/>
      <c r="F143" s="16"/>
      <c r="G143" s="16"/>
      <c r="H143" s="16"/>
      <c r="I143" s="17">
        <f>92.86</f>
        <v>92.86</v>
      </c>
      <c r="J143" s="16"/>
      <c r="K143" s="16"/>
      <c r="L143" s="22">
        <v>92.86</v>
      </c>
      <c r="M143" s="27">
        <v>0</v>
      </c>
      <c r="N143" s="32">
        <v>92.86</v>
      </c>
      <c r="O143" s="37" t="s">
        <v>287</v>
      </c>
      <c r="P143" s="41">
        <v>0</v>
      </c>
      <c r="Q143" s="45"/>
    </row>
    <row r="144" spans="1:17" x14ac:dyDescent="0.25">
      <c r="A144" s="3" t="s">
        <v>121</v>
      </c>
      <c r="B144" s="16"/>
      <c r="C144" s="16"/>
      <c r="D144" s="16"/>
      <c r="E144" s="16"/>
      <c r="F144" s="16"/>
      <c r="G144" s="16"/>
      <c r="H144" s="16"/>
      <c r="I144" s="16"/>
      <c r="J144" s="17">
        <f>160</f>
        <v>160</v>
      </c>
      <c r="K144" s="16"/>
      <c r="L144" s="22">
        <v>160</v>
      </c>
      <c r="M144" s="27">
        <v>0</v>
      </c>
      <c r="N144" s="32">
        <v>160</v>
      </c>
      <c r="O144" s="37" t="s">
        <v>287</v>
      </c>
      <c r="P144" s="42">
        <v>0</v>
      </c>
      <c r="Q144" s="46"/>
    </row>
    <row r="145" spans="1:17" x14ac:dyDescent="0.25">
      <c r="A145" s="3" t="s">
        <v>120</v>
      </c>
      <c r="B145" s="18">
        <f t="shared" ref="B145:K145" si="21">((((((B131)+(B132))+(B133))+(B140))+(B141))+(B143))+(B144)</f>
        <v>5702.34</v>
      </c>
      <c r="C145" s="18">
        <f t="shared" si="21"/>
        <v>11537.18</v>
      </c>
      <c r="D145" s="18">
        <f t="shared" si="21"/>
        <v>13318.1</v>
      </c>
      <c r="E145" s="18">
        <f t="shared" si="21"/>
        <v>29094.07</v>
      </c>
      <c r="F145" s="18">
        <f t="shared" si="21"/>
        <v>12572.18</v>
      </c>
      <c r="G145" s="18">
        <f t="shared" si="21"/>
        <v>16240.18</v>
      </c>
      <c r="H145" s="18">
        <f t="shared" si="21"/>
        <v>15159.070000000002</v>
      </c>
      <c r="I145" s="18">
        <f t="shared" si="21"/>
        <v>18690.46</v>
      </c>
      <c r="J145" s="18">
        <f t="shared" si="21"/>
        <v>19599.52</v>
      </c>
      <c r="K145" s="18">
        <f t="shared" si="21"/>
        <v>12692.33</v>
      </c>
      <c r="L145" s="23">
        <v>154605.42999999996</v>
      </c>
      <c r="M145" s="28">
        <v>185391.20000000004</v>
      </c>
      <c r="N145" s="33">
        <v>-30785.770000000077</v>
      </c>
      <c r="O145" s="38">
        <v>0.83394157867255803</v>
      </c>
      <c r="P145" s="41">
        <v>230576.00000000006</v>
      </c>
      <c r="Q145" s="45">
        <f t="shared" ref="Q145:Q196" si="22">L145/P145</f>
        <v>0.67051831066546352</v>
      </c>
    </row>
    <row r="146" spans="1:17" x14ac:dyDescent="0.25">
      <c r="A146" s="3" t="s">
        <v>119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22">
        <v>0</v>
      </c>
      <c r="M146" s="27">
        <v>0</v>
      </c>
      <c r="N146" s="32">
        <v>0</v>
      </c>
      <c r="O146" s="37" t="s">
        <v>287</v>
      </c>
      <c r="P146" s="41">
        <v>0</v>
      </c>
      <c r="Q146" s="45"/>
    </row>
    <row r="147" spans="1:17" x14ac:dyDescent="0.25">
      <c r="A147" s="3" t="s">
        <v>118</v>
      </c>
      <c r="B147" s="17">
        <f>369</f>
        <v>369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22">
        <v>369</v>
      </c>
      <c r="M147" s="27">
        <v>0</v>
      </c>
      <c r="N147" s="32">
        <v>369</v>
      </c>
      <c r="O147" s="37" t="s">
        <v>287</v>
      </c>
      <c r="P147" s="41">
        <v>0</v>
      </c>
      <c r="Q147" s="45"/>
    </row>
    <row r="148" spans="1:17" x14ac:dyDescent="0.25">
      <c r="A148" s="3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22"/>
      <c r="M148" s="27"/>
      <c r="N148" s="32"/>
      <c r="O148" s="37"/>
      <c r="P148" s="41">
        <v>0</v>
      </c>
      <c r="Q148" s="45"/>
    </row>
    <row r="149" spans="1:17" x14ac:dyDescent="0.25">
      <c r="A149" s="3" t="s">
        <v>116</v>
      </c>
      <c r="B149" s="16"/>
      <c r="C149" s="16"/>
      <c r="D149" s="16"/>
      <c r="E149" s="16"/>
      <c r="F149" s="16"/>
      <c r="G149" s="16"/>
      <c r="H149" s="16"/>
      <c r="I149" s="16"/>
      <c r="J149" s="17">
        <f>1303.16</f>
        <v>1303.1600000000001</v>
      </c>
      <c r="K149" s="16"/>
      <c r="L149" s="22">
        <v>1303.1600000000001</v>
      </c>
      <c r="M149" s="27">
        <v>0</v>
      </c>
      <c r="N149" s="32">
        <v>1303.1600000000001</v>
      </c>
      <c r="O149" s="37" t="s">
        <v>287</v>
      </c>
      <c r="P149" s="41">
        <v>0</v>
      </c>
      <c r="Q149" s="45"/>
    </row>
    <row r="150" spans="1:17" x14ac:dyDescent="0.25">
      <c r="A150" s="3" t="s">
        <v>115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7">
        <f>-225.58</f>
        <v>-225.58</v>
      </c>
      <c r="L150" s="22">
        <v>-225.58</v>
      </c>
      <c r="M150" s="27">
        <v>0</v>
      </c>
      <c r="N150" s="32">
        <v>-225.58</v>
      </c>
      <c r="O150" s="37" t="s">
        <v>287</v>
      </c>
      <c r="P150" s="41">
        <v>0</v>
      </c>
      <c r="Q150" s="45"/>
    </row>
    <row r="151" spans="1:17" x14ac:dyDescent="0.25">
      <c r="A151" s="3" t="s">
        <v>114</v>
      </c>
      <c r="B151" s="17">
        <f>3591.44</f>
        <v>3591.44</v>
      </c>
      <c r="C151" s="17">
        <f>2710.98</f>
        <v>2710.98</v>
      </c>
      <c r="D151" s="17">
        <f>1219.47</f>
        <v>1219.47</v>
      </c>
      <c r="E151" s="16"/>
      <c r="F151" s="16"/>
      <c r="G151" s="17">
        <f>190</f>
        <v>190</v>
      </c>
      <c r="H151" s="16"/>
      <c r="I151" s="17">
        <f>2107.78</f>
        <v>2107.7800000000002</v>
      </c>
      <c r="J151" s="17">
        <f>2330</f>
        <v>2330</v>
      </c>
      <c r="K151" s="17">
        <f>400</f>
        <v>400</v>
      </c>
      <c r="L151" s="22">
        <v>12549.67</v>
      </c>
      <c r="M151" s="27">
        <v>97150</v>
      </c>
      <c r="N151" s="32">
        <v>-84600.33</v>
      </c>
      <c r="O151" s="37">
        <v>0.12917828100874937</v>
      </c>
      <c r="P151" s="41">
        <v>116580</v>
      </c>
      <c r="Q151" s="45">
        <f t="shared" si="22"/>
        <v>0.10764856750729113</v>
      </c>
    </row>
    <row r="152" spans="1:17" x14ac:dyDescent="0.25">
      <c r="A152" s="3" t="s">
        <v>113</v>
      </c>
      <c r="B152" s="17">
        <f>5250</f>
        <v>5250</v>
      </c>
      <c r="C152" s="17">
        <f>7320</f>
        <v>7320</v>
      </c>
      <c r="D152" s="16"/>
      <c r="E152" s="17">
        <f>32016</f>
        <v>32016</v>
      </c>
      <c r="F152" s="17">
        <f>450</f>
        <v>450</v>
      </c>
      <c r="G152" s="16"/>
      <c r="H152" s="17">
        <f>14716</f>
        <v>14716</v>
      </c>
      <c r="I152" s="16"/>
      <c r="J152" s="17">
        <f>7890</f>
        <v>7890</v>
      </c>
      <c r="K152" s="16"/>
      <c r="L152" s="22">
        <v>67642</v>
      </c>
      <c r="M152" s="27">
        <v>19845</v>
      </c>
      <c r="N152" s="32">
        <v>47797</v>
      </c>
      <c r="O152" s="37">
        <v>3.4085159989921894</v>
      </c>
      <c r="P152" s="41">
        <v>33075</v>
      </c>
      <c r="Q152" s="45">
        <f t="shared" si="22"/>
        <v>2.0451095993953139</v>
      </c>
    </row>
    <row r="153" spans="1:17" x14ac:dyDescent="0.25">
      <c r="A153" s="3" t="s">
        <v>112</v>
      </c>
      <c r="B153" s="17">
        <f>2450</f>
        <v>2450</v>
      </c>
      <c r="C153" s="17">
        <f>650</f>
        <v>650</v>
      </c>
      <c r="D153" s="17">
        <f>1150</f>
        <v>1150</v>
      </c>
      <c r="E153" s="17">
        <f>650</f>
        <v>650</v>
      </c>
      <c r="F153" s="17">
        <f>650</f>
        <v>650</v>
      </c>
      <c r="G153" s="17">
        <f>650</f>
        <v>650</v>
      </c>
      <c r="H153" s="17">
        <f>650</f>
        <v>650</v>
      </c>
      <c r="I153" s="17">
        <f>650</f>
        <v>650</v>
      </c>
      <c r="J153" s="17">
        <f>1950</f>
        <v>1950</v>
      </c>
      <c r="K153" s="17">
        <f>650</f>
        <v>650</v>
      </c>
      <c r="L153" s="22">
        <v>10100</v>
      </c>
      <c r="M153" s="27">
        <v>16666.600000000002</v>
      </c>
      <c r="N153" s="32">
        <v>-6566.6000000000022</v>
      </c>
      <c r="O153" s="37">
        <v>0.60600242400969595</v>
      </c>
      <c r="P153" s="41">
        <v>20000.000000000004</v>
      </c>
      <c r="Q153" s="45">
        <f t="shared" si="22"/>
        <v>0.50499999999999989</v>
      </c>
    </row>
    <row r="154" spans="1:17" x14ac:dyDescent="0.25">
      <c r="A154" s="3" t="s">
        <v>111</v>
      </c>
      <c r="B154" s="16"/>
      <c r="C154" s="17">
        <f>1029.95</f>
        <v>1029.95</v>
      </c>
      <c r="D154" s="17">
        <f>2099.95</f>
        <v>2099.9499999999998</v>
      </c>
      <c r="E154" s="17">
        <f>1838.6</f>
        <v>1838.6</v>
      </c>
      <c r="F154" s="17">
        <f>1456</f>
        <v>1456</v>
      </c>
      <c r="G154" s="17">
        <f>1560</f>
        <v>1560</v>
      </c>
      <c r="H154" s="17">
        <f>4010.87</f>
        <v>4010.87</v>
      </c>
      <c r="I154" s="17">
        <f>3033.5</f>
        <v>3033.5</v>
      </c>
      <c r="J154" s="17">
        <f>2885.53</f>
        <v>2885.53</v>
      </c>
      <c r="K154" s="17">
        <f>2492.6</f>
        <v>2492.6</v>
      </c>
      <c r="L154" s="22">
        <v>20406.999999999996</v>
      </c>
      <c r="M154" s="27">
        <v>11896.6</v>
      </c>
      <c r="N154" s="32">
        <v>8510.399999999996</v>
      </c>
      <c r="O154" s="37">
        <v>1.7153640535951444</v>
      </c>
      <c r="P154" s="41">
        <v>14276</v>
      </c>
      <c r="Q154" s="45">
        <f t="shared" si="22"/>
        <v>1.4294620341832442</v>
      </c>
    </row>
    <row r="155" spans="1:17" x14ac:dyDescent="0.25">
      <c r="A155" s="3" t="s">
        <v>110</v>
      </c>
      <c r="B155" s="17">
        <f>154.04</f>
        <v>154.04</v>
      </c>
      <c r="C155" s="17">
        <f>1654.04</f>
        <v>1654.04</v>
      </c>
      <c r="D155" s="17">
        <f>154.04</f>
        <v>154.04</v>
      </c>
      <c r="E155" s="17">
        <f>154.04</f>
        <v>154.04</v>
      </c>
      <c r="F155" s="17">
        <f>154.04</f>
        <v>154.04</v>
      </c>
      <c r="G155" s="17">
        <f>154.04</f>
        <v>154.04</v>
      </c>
      <c r="H155" s="17">
        <f>739.04</f>
        <v>739.04</v>
      </c>
      <c r="I155" s="17">
        <f>125</f>
        <v>125</v>
      </c>
      <c r="J155" s="17">
        <f>399.04</f>
        <v>399.04</v>
      </c>
      <c r="K155" s="17">
        <f>279.04</f>
        <v>279.04000000000002</v>
      </c>
      <c r="L155" s="22">
        <v>3966.3599999999997</v>
      </c>
      <c r="M155" s="27">
        <v>4166.5999999999995</v>
      </c>
      <c r="N155" s="32">
        <v>-200.23999999999978</v>
      </c>
      <c r="O155" s="37">
        <v>0.95194163106609708</v>
      </c>
      <c r="P155" s="42">
        <v>4999.9999999999991</v>
      </c>
      <c r="Q155" s="46">
        <f t="shared" si="22"/>
        <v>0.79327200000000009</v>
      </c>
    </row>
    <row r="156" spans="1:17" x14ac:dyDescent="0.25">
      <c r="A156" s="3" t="s">
        <v>109</v>
      </c>
      <c r="B156" s="18">
        <f t="shared" ref="B156:K156" si="23">((((B151)+(B152))+(B153))+(B154))+(B155)</f>
        <v>11445.480000000001</v>
      </c>
      <c r="C156" s="18">
        <f t="shared" si="23"/>
        <v>13364.970000000001</v>
      </c>
      <c r="D156" s="18">
        <f t="shared" si="23"/>
        <v>4623.46</v>
      </c>
      <c r="E156" s="18">
        <f t="shared" si="23"/>
        <v>34658.639999999999</v>
      </c>
      <c r="F156" s="18">
        <f t="shared" si="23"/>
        <v>2710.04</v>
      </c>
      <c r="G156" s="18">
        <f t="shared" si="23"/>
        <v>2554.04</v>
      </c>
      <c r="H156" s="18">
        <f t="shared" si="23"/>
        <v>20115.91</v>
      </c>
      <c r="I156" s="18">
        <f t="shared" si="23"/>
        <v>5916.2800000000007</v>
      </c>
      <c r="J156" s="18">
        <f t="shared" si="23"/>
        <v>15454.570000000002</v>
      </c>
      <c r="K156" s="18">
        <f t="shared" si="23"/>
        <v>3821.64</v>
      </c>
      <c r="L156" s="23">
        <v>114665.03</v>
      </c>
      <c r="M156" s="28">
        <v>149724.79999999999</v>
      </c>
      <c r="N156" s="33">
        <v>-35059.76999999999</v>
      </c>
      <c r="O156" s="38">
        <v>0.76583859186988401</v>
      </c>
      <c r="P156" s="41">
        <v>188931</v>
      </c>
      <c r="Q156" s="45">
        <f t="shared" si="22"/>
        <v>0.60691485251229282</v>
      </c>
    </row>
    <row r="157" spans="1:17" x14ac:dyDescent="0.25">
      <c r="A157" s="3" t="s">
        <v>108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7">
        <f>3759.76</f>
        <v>3759.76</v>
      </c>
      <c r="L157" s="22">
        <v>3759.76</v>
      </c>
      <c r="M157" s="27">
        <v>0</v>
      </c>
      <c r="N157" s="32">
        <v>3759.76</v>
      </c>
      <c r="O157" s="37" t="s">
        <v>287</v>
      </c>
      <c r="P157" s="41">
        <v>0</v>
      </c>
      <c r="Q157" s="45"/>
    </row>
    <row r="158" spans="1:17" x14ac:dyDescent="0.25">
      <c r="A158" s="3" t="s">
        <v>107</v>
      </c>
      <c r="B158" s="17">
        <f>3506.45</f>
        <v>3506.45</v>
      </c>
      <c r="C158" s="17">
        <f>73.54</f>
        <v>73.540000000000006</v>
      </c>
      <c r="D158" s="17">
        <f>67.47</f>
        <v>67.47</v>
      </c>
      <c r="E158" s="17">
        <f>10987.56</f>
        <v>10987.56</v>
      </c>
      <c r="F158" s="17">
        <f>74.22</f>
        <v>74.22</v>
      </c>
      <c r="G158" s="17">
        <f>67.47</f>
        <v>67.47</v>
      </c>
      <c r="H158" s="17">
        <f>74.22</f>
        <v>74.22</v>
      </c>
      <c r="I158" s="17">
        <f>141.69</f>
        <v>141.69</v>
      </c>
      <c r="J158" s="17">
        <f>1312.08</f>
        <v>1312.08</v>
      </c>
      <c r="K158" s="17">
        <f>5385.56</f>
        <v>5385.56</v>
      </c>
      <c r="L158" s="22">
        <v>21690.26</v>
      </c>
      <c r="M158" s="27">
        <v>0</v>
      </c>
      <c r="N158" s="32">
        <v>21690.26</v>
      </c>
      <c r="O158" s="37" t="s">
        <v>287</v>
      </c>
      <c r="P158" s="41">
        <v>0</v>
      </c>
      <c r="Q158" s="45"/>
    </row>
    <row r="159" spans="1:17" x14ac:dyDescent="0.25">
      <c r="A159" s="3" t="s">
        <v>106</v>
      </c>
      <c r="B159" s="17">
        <f>775.75</f>
        <v>775.75</v>
      </c>
      <c r="C159" s="17">
        <f>698.88</f>
        <v>698.88</v>
      </c>
      <c r="D159" s="17">
        <f>698.88</f>
        <v>698.88</v>
      </c>
      <c r="E159" s="17">
        <f>698.88</f>
        <v>698.88</v>
      </c>
      <c r="F159" s="17">
        <f>698.88</f>
        <v>698.88</v>
      </c>
      <c r="G159" s="17">
        <f>698.88</f>
        <v>698.88</v>
      </c>
      <c r="H159" s="17">
        <f>1125.19</f>
        <v>1125.19</v>
      </c>
      <c r="I159" s="17">
        <f>2288.83</f>
        <v>2288.83</v>
      </c>
      <c r="J159" s="16"/>
      <c r="K159" s="17">
        <f>1091</f>
        <v>1091</v>
      </c>
      <c r="L159" s="22">
        <v>8775.17</v>
      </c>
      <c r="M159" s="27">
        <v>0</v>
      </c>
      <c r="N159" s="32">
        <v>8775.17</v>
      </c>
      <c r="O159" s="37" t="s">
        <v>287</v>
      </c>
      <c r="P159" s="41">
        <v>0</v>
      </c>
      <c r="Q159" s="45"/>
    </row>
    <row r="160" spans="1:17" x14ac:dyDescent="0.25">
      <c r="A160" s="3" t="s">
        <v>105</v>
      </c>
      <c r="B160" s="17">
        <f>500</f>
        <v>500</v>
      </c>
      <c r="C160" s="17">
        <f>8405.88</f>
        <v>8405.8799999999992</v>
      </c>
      <c r="D160" s="17">
        <f>6161.36</f>
        <v>6161.36</v>
      </c>
      <c r="E160" s="17">
        <f>235</f>
        <v>235</v>
      </c>
      <c r="F160" s="17">
        <f>5629.1</f>
        <v>5629.1</v>
      </c>
      <c r="G160" s="17">
        <f>2692.24</f>
        <v>2692.24</v>
      </c>
      <c r="H160" s="17">
        <f>9649.68</f>
        <v>9649.68</v>
      </c>
      <c r="I160" s="17">
        <f>1651.08</f>
        <v>1651.08</v>
      </c>
      <c r="J160" s="17">
        <f>1524</f>
        <v>1524</v>
      </c>
      <c r="K160" s="17">
        <f>2793.83</f>
        <v>2793.83</v>
      </c>
      <c r="L160" s="22">
        <v>39242.17</v>
      </c>
      <c r="M160" s="27">
        <v>108333.3</v>
      </c>
      <c r="N160" s="32">
        <v>-69091.13</v>
      </c>
      <c r="O160" s="37">
        <v>0.36223552684170052</v>
      </c>
      <c r="P160" s="41">
        <v>130000</v>
      </c>
      <c r="Q160" s="45">
        <f t="shared" si="22"/>
        <v>0.30186284615384612</v>
      </c>
    </row>
    <row r="161" spans="1:17" x14ac:dyDescent="0.25">
      <c r="A161" s="3" t="s">
        <v>104</v>
      </c>
      <c r="B161" s="17">
        <f>5683.69</f>
        <v>5683.69</v>
      </c>
      <c r="C161" s="17">
        <f>2504.33</f>
        <v>2504.33</v>
      </c>
      <c r="D161" s="17">
        <f>24175</f>
        <v>24175</v>
      </c>
      <c r="E161" s="17">
        <f>4245.07</f>
        <v>4245.07</v>
      </c>
      <c r="F161" s="17">
        <f>528.4</f>
        <v>528.4</v>
      </c>
      <c r="G161" s="17">
        <f>1577.95</f>
        <v>1577.95</v>
      </c>
      <c r="H161" s="17">
        <f>2427</f>
        <v>2427</v>
      </c>
      <c r="I161" s="17">
        <f>900</f>
        <v>900</v>
      </c>
      <c r="J161" s="17">
        <f>5227.89</f>
        <v>5227.8900000000003</v>
      </c>
      <c r="K161" s="16"/>
      <c r="L161" s="22">
        <v>47269.329999999994</v>
      </c>
      <c r="M161" s="27">
        <v>79200</v>
      </c>
      <c r="N161" s="32">
        <v>-31930.670000000006</v>
      </c>
      <c r="O161" s="37">
        <v>0.59683497474747471</v>
      </c>
      <c r="P161" s="41">
        <v>132000</v>
      </c>
      <c r="Q161" s="45">
        <f t="shared" si="22"/>
        <v>0.35810098484848479</v>
      </c>
    </row>
    <row r="162" spans="1:17" x14ac:dyDescent="0.25">
      <c r="A162" s="3" t="s">
        <v>103</v>
      </c>
      <c r="B162" s="17">
        <f>15375.11</f>
        <v>15375.11</v>
      </c>
      <c r="C162" s="17">
        <f>600.25</f>
        <v>600.25</v>
      </c>
      <c r="D162" s="17">
        <f>2517.92</f>
        <v>2517.92</v>
      </c>
      <c r="E162" s="17">
        <f>2825</f>
        <v>2825</v>
      </c>
      <c r="F162" s="17">
        <f>0</f>
        <v>0</v>
      </c>
      <c r="G162" s="17">
        <f>1952</f>
        <v>1952</v>
      </c>
      <c r="H162" s="17">
        <f>13587</f>
        <v>13587</v>
      </c>
      <c r="I162" s="16"/>
      <c r="J162" s="16"/>
      <c r="K162" s="16"/>
      <c r="L162" s="22">
        <v>36857.279999999999</v>
      </c>
      <c r="M162" s="27">
        <v>16800</v>
      </c>
      <c r="N162" s="32">
        <v>20057.28</v>
      </c>
      <c r="O162" s="37">
        <v>2.193885714285714</v>
      </c>
      <c r="P162" s="41">
        <v>28000</v>
      </c>
      <c r="Q162" s="45">
        <f t="shared" si="22"/>
        <v>1.3163314285714285</v>
      </c>
    </row>
    <row r="163" spans="1:17" x14ac:dyDescent="0.25">
      <c r="A163" s="3" t="s">
        <v>102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22">
        <v>0</v>
      </c>
      <c r="M163" s="27">
        <v>31095</v>
      </c>
      <c r="N163" s="32">
        <v>-31095</v>
      </c>
      <c r="O163" s="37">
        <v>0</v>
      </c>
      <c r="P163" s="42">
        <v>37314</v>
      </c>
      <c r="Q163" s="46">
        <f t="shared" si="22"/>
        <v>0</v>
      </c>
    </row>
    <row r="164" spans="1:17" x14ac:dyDescent="0.25">
      <c r="A164" s="3" t="s">
        <v>101</v>
      </c>
      <c r="B164" s="18">
        <f t="shared" ref="B164:K164" si="24">(((B160)+(B161))+(B162))+(B163)</f>
        <v>21558.799999999999</v>
      </c>
      <c r="C164" s="18">
        <f t="shared" si="24"/>
        <v>11510.46</v>
      </c>
      <c r="D164" s="18">
        <f t="shared" si="24"/>
        <v>32854.28</v>
      </c>
      <c r="E164" s="18">
        <f t="shared" si="24"/>
        <v>7305.07</v>
      </c>
      <c r="F164" s="18">
        <f t="shared" si="24"/>
        <v>6157.5</v>
      </c>
      <c r="G164" s="18">
        <f t="shared" si="24"/>
        <v>6222.19</v>
      </c>
      <c r="H164" s="18">
        <f t="shared" si="24"/>
        <v>25663.68</v>
      </c>
      <c r="I164" s="18">
        <f t="shared" si="24"/>
        <v>2551.08</v>
      </c>
      <c r="J164" s="18">
        <f t="shared" si="24"/>
        <v>6751.89</v>
      </c>
      <c r="K164" s="18">
        <f t="shared" si="24"/>
        <v>2793.83</v>
      </c>
      <c r="L164" s="23">
        <v>123368.77999999998</v>
      </c>
      <c r="M164" s="28">
        <v>235428.30000000005</v>
      </c>
      <c r="N164" s="33">
        <v>-112059.52000000006</v>
      </c>
      <c r="O164" s="38">
        <v>0.52401848036111187</v>
      </c>
      <c r="P164" s="41">
        <v>327314.00000000006</v>
      </c>
      <c r="Q164" s="45">
        <f t="shared" si="22"/>
        <v>0.37691262824077176</v>
      </c>
    </row>
    <row r="165" spans="1:17" x14ac:dyDescent="0.25">
      <c r="A165" s="3" t="s">
        <v>100</v>
      </c>
      <c r="B165" s="16"/>
      <c r="C165" s="16"/>
      <c r="D165" s="16"/>
      <c r="E165" s="16"/>
      <c r="F165" s="16"/>
      <c r="G165" s="16"/>
      <c r="H165" s="17">
        <f>1919</f>
        <v>1919</v>
      </c>
      <c r="I165" s="17">
        <f>1919</f>
        <v>1919</v>
      </c>
      <c r="J165" s="17">
        <f>1919</f>
        <v>1919</v>
      </c>
      <c r="K165" s="17">
        <f>1919</f>
        <v>1919</v>
      </c>
      <c r="L165" s="22">
        <v>7676</v>
      </c>
      <c r="M165" s="27">
        <v>17271</v>
      </c>
      <c r="N165" s="32">
        <v>-9595</v>
      </c>
      <c r="O165" s="37">
        <v>0.44444444444444442</v>
      </c>
      <c r="P165" s="41">
        <v>21109</v>
      </c>
      <c r="Q165" s="45">
        <f t="shared" si="22"/>
        <v>0.36363636363636365</v>
      </c>
    </row>
    <row r="166" spans="1:17" x14ac:dyDescent="0.25">
      <c r="A166" s="3" t="s">
        <v>99</v>
      </c>
      <c r="B166" s="17">
        <f>600</f>
        <v>600</v>
      </c>
      <c r="C166" s="16"/>
      <c r="D166" s="16"/>
      <c r="E166" s="16"/>
      <c r="F166" s="16"/>
      <c r="G166" s="16"/>
      <c r="H166" s="16"/>
      <c r="I166" s="16"/>
      <c r="J166" s="17">
        <f>495</f>
        <v>495</v>
      </c>
      <c r="K166" s="17">
        <f>1300</f>
        <v>1300</v>
      </c>
      <c r="L166" s="22">
        <v>2395</v>
      </c>
      <c r="M166" s="27">
        <v>0</v>
      </c>
      <c r="N166" s="32">
        <v>2395</v>
      </c>
      <c r="O166" s="37" t="s">
        <v>287</v>
      </c>
      <c r="P166" s="41">
        <v>0</v>
      </c>
      <c r="Q166" s="45"/>
    </row>
    <row r="167" spans="1:17" x14ac:dyDescent="0.25">
      <c r="A167" s="3" t="s">
        <v>98</v>
      </c>
      <c r="B167" s="17">
        <f>58923.54</f>
        <v>58923.54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22">
        <v>58923.54</v>
      </c>
      <c r="M167" s="27">
        <v>49103.30000000001</v>
      </c>
      <c r="N167" s="32">
        <v>9820.2399999999907</v>
      </c>
      <c r="O167" s="37">
        <v>1.199991446603385</v>
      </c>
      <c r="P167" s="41">
        <v>58924.000000000015</v>
      </c>
      <c r="Q167" s="45">
        <f t="shared" si="22"/>
        <v>0.99999219333378564</v>
      </c>
    </row>
    <row r="168" spans="1:17" x14ac:dyDescent="0.25">
      <c r="A168" s="3" t="s">
        <v>97</v>
      </c>
      <c r="B168" s="17">
        <f>1078.68</f>
        <v>1078.68</v>
      </c>
      <c r="C168" s="17">
        <f>1226.82</f>
        <v>1226.82</v>
      </c>
      <c r="D168" s="17">
        <f>1226.82</f>
        <v>1226.82</v>
      </c>
      <c r="E168" s="17">
        <f>1226.82</f>
        <v>1226.82</v>
      </c>
      <c r="F168" s="17">
        <f>493</f>
        <v>493</v>
      </c>
      <c r="G168" s="17">
        <f>1233.64</f>
        <v>1233.6400000000001</v>
      </c>
      <c r="H168" s="17">
        <f>1415.27</f>
        <v>1415.27</v>
      </c>
      <c r="I168" s="17">
        <f>488.44</f>
        <v>488.44</v>
      </c>
      <c r="J168" s="17">
        <f>856.9</f>
        <v>856.9</v>
      </c>
      <c r="K168" s="17">
        <f>593.75</f>
        <v>593.75</v>
      </c>
      <c r="L168" s="22">
        <v>9840.14</v>
      </c>
      <c r="M168" s="27">
        <v>0</v>
      </c>
      <c r="N168" s="32">
        <v>9840.14</v>
      </c>
      <c r="O168" s="37" t="s">
        <v>287</v>
      </c>
      <c r="P168" s="41">
        <v>0</v>
      </c>
      <c r="Q168" s="45"/>
    </row>
    <row r="169" spans="1:17" x14ac:dyDescent="0.25">
      <c r="A169" s="3" t="s">
        <v>96</v>
      </c>
      <c r="B169" s="17">
        <f>36787.2</f>
        <v>36787.199999999997</v>
      </c>
      <c r="C169" s="17">
        <f>2112.2</f>
        <v>2112.1999999999998</v>
      </c>
      <c r="D169" s="17">
        <f>2683.72</f>
        <v>2683.72</v>
      </c>
      <c r="E169" s="17">
        <f>3209.69</f>
        <v>3209.69</v>
      </c>
      <c r="F169" s="17">
        <f>475.3</f>
        <v>475.3</v>
      </c>
      <c r="G169" s="17">
        <f>2453.46</f>
        <v>2453.46</v>
      </c>
      <c r="H169" s="17">
        <f>1988.25</f>
        <v>1988.25</v>
      </c>
      <c r="I169" s="17">
        <f>1644.37</f>
        <v>1644.37</v>
      </c>
      <c r="J169" s="17">
        <f>2310.3</f>
        <v>2310.3000000000002</v>
      </c>
      <c r="K169" s="17">
        <f>1832.89</f>
        <v>1832.89</v>
      </c>
      <c r="L169" s="22">
        <v>55497.380000000005</v>
      </c>
      <c r="M169" s="27">
        <v>16705</v>
      </c>
      <c r="N169" s="32">
        <v>38792.380000000005</v>
      </c>
      <c r="O169" s="37">
        <v>3.3222017360071838</v>
      </c>
      <c r="P169" s="41">
        <v>20046</v>
      </c>
      <c r="Q169" s="45">
        <f t="shared" si="22"/>
        <v>2.7685014466726532</v>
      </c>
    </row>
    <row r="170" spans="1:17" x14ac:dyDescent="0.25">
      <c r="A170" s="3" t="s">
        <v>95</v>
      </c>
      <c r="B170" s="17">
        <f>6506.39</f>
        <v>6506.39</v>
      </c>
      <c r="C170" s="17">
        <f>8134.37</f>
        <v>8134.37</v>
      </c>
      <c r="D170" s="17">
        <f>7907.67</f>
        <v>7907.67</v>
      </c>
      <c r="E170" s="17">
        <f>6834.97</f>
        <v>6834.97</v>
      </c>
      <c r="F170" s="17">
        <f>6472.57</f>
        <v>6472.57</v>
      </c>
      <c r="G170" s="17">
        <f>6505.81</f>
        <v>6505.81</v>
      </c>
      <c r="H170" s="17">
        <f>6942.77</f>
        <v>6942.77</v>
      </c>
      <c r="I170" s="17">
        <f>6180.74</f>
        <v>6180.74</v>
      </c>
      <c r="J170" s="17">
        <f>8680.12</f>
        <v>8680.1200000000008</v>
      </c>
      <c r="K170" s="17">
        <f>5765.67</f>
        <v>5765.67</v>
      </c>
      <c r="L170" s="22">
        <v>69931.08</v>
      </c>
      <c r="M170" s="27">
        <v>112766.7</v>
      </c>
      <c r="N170" s="32">
        <v>-42835.619999999995</v>
      </c>
      <c r="O170" s="37">
        <v>0.62013945606282705</v>
      </c>
      <c r="P170" s="42">
        <v>135320</v>
      </c>
      <c r="Q170" s="46">
        <f t="shared" si="22"/>
        <v>0.51678303281111437</v>
      </c>
    </row>
    <row r="171" spans="1:17" x14ac:dyDescent="0.25">
      <c r="A171" s="3" t="s">
        <v>94</v>
      </c>
      <c r="B171" s="18">
        <f t="shared" ref="B171:K171" si="25">((((((((((((((B146)+(B147))+(B149))+(B150))+(B156))+(B157))+(B158))+(B159))+(B164))+(B165))+(B166))+(B167))+(B168))+(B169))+(B170)</f>
        <v>141551.28999999998</v>
      </c>
      <c r="C171" s="18">
        <f t="shared" si="25"/>
        <v>37121.24</v>
      </c>
      <c r="D171" s="18">
        <f t="shared" si="25"/>
        <v>50062.299999999996</v>
      </c>
      <c r="E171" s="18">
        <f t="shared" si="25"/>
        <v>64921.63</v>
      </c>
      <c r="F171" s="18">
        <f t="shared" si="25"/>
        <v>17081.509999999998</v>
      </c>
      <c r="G171" s="18">
        <f t="shared" si="25"/>
        <v>19735.490000000002</v>
      </c>
      <c r="H171" s="18">
        <f t="shared" si="25"/>
        <v>59244.289999999994</v>
      </c>
      <c r="I171" s="18">
        <f t="shared" si="25"/>
        <v>21130.43</v>
      </c>
      <c r="J171" s="18">
        <f t="shared" si="25"/>
        <v>39083.020000000004</v>
      </c>
      <c r="K171" s="18">
        <f t="shared" si="25"/>
        <v>28037.519999999997</v>
      </c>
      <c r="L171" s="23">
        <v>477968.72</v>
      </c>
      <c r="M171" s="28">
        <v>580999.1</v>
      </c>
      <c r="N171" s="33">
        <v>-103030.38</v>
      </c>
      <c r="O171" s="38">
        <v>0.82266688537039045</v>
      </c>
      <c r="P171" s="41">
        <v>751644</v>
      </c>
      <c r="Q171" s="45">
        <f t="shared" si="22"/>
        <v>0.63589773882316625</v>
      </c>
    </row>
    <row r="172" spans="1:17" x14ac:dyDescent="0.25">
      <c r="A172" s="3" t="s">
        <v>93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22">
        <v>0</v>
      </c>
      <c r="M172" s="27">
        <v>0</v>
      </c>
      <c r="N172" s="32">
        <v>0</v>
      </c>
      <c r="O172" s="37" t="s">
        <v>287</v>
      </c>
      <c r="P172" s="41">
        <v>0</v>
      </c>
      <c r="Q172" s="45"/>
    </row>
    <row r="173" spans="1:17" x14ac:dyDescent="0.25">
      <c r="A173" s="3" t="s">
        <v>92</v>
      </c>
      <c r="B173" s="16"/>
      <c r="C173" s="16"/>
      <c r="D173" s="16"/>
      <c r="E173" s="16"/>
      <c r="F173" s="16"/>
      <c r="G173" s="16"/>
      <c r="H173" s="16"/>
      <c r="I173" s="17">
        <f>312.5</f>
        <v>312.5</v>
      </c>
      <c r="J173" s="16"/>
      <c r="K173" s="16"/>
      <c r="L173" s="22">
        <v>312.5</v>
      </c>
      <c r="M173" s="27">
        <v>0</v>
      </c>
      <c r="N173" s="32">
        <v>312.5</v>
      </c>
      <c r="O173" s="37" t="s">
        <v>287</v>
      </c>
      <c r="P173" s="41">
        <v>0</v>
      </c>
      <c r="Q173" s="45"/>
    </row>
    <row r="174" spans="1:17" x14ac:dyDescent="0.25">
      <c r="A174" s="3" t="s">
        <v>91</v>
      </c>
      <c r="B174" s="16"/>
      <c r="C174" s="17">
        <f>2512.69</f>
        <v>2512.69</v>
      </c>
      <c r="D174" s="16"/>
      <c r="E174" s="17">
        <f>32733.05</f>
        <v>32733.05</v>
      </c>
      <c r="F174" s="17">
        <f>21170.96</f>
        <v>21170.959999999999</v>
      </c>
      <c r="G174" s="17">
        <f>21865.09</f>
        <v>21865.09</v>
      </c>
      <c r="H174" s="17">
        <f>22784.22</f>
        <v>22784.22</v>
      </c>
      <c r="I174" s="16"/>
      <c r="J174" s="16"/>
      <c r="K174" s="17">
        <f>16951.65</f>
        <v>16951.650000000001</v>
      </c>
      <c r="L174" s="22">
        <v>118017.66</v>
      </c>
      <c r="M174" s="27">
        <v>215574.19999999995</v>
      </c>
      <c r="N174" s="32">
        <v>-97556.53999999995</v>
      </c>
      <c r="O174" s="37">
        <v>0.54745725601672202</v>
      </c>
      <c r="P174" s="41">
        <v>258688.99999999994</v>
      </c>
      <c r="Q174" s="45">
        <f t="shared" si="22"/>
        <v>0.45621445055645982</v>
      </c>
    </row>
    <row r="175" spans="1:17" x14ac:dyDescent="0.25">
      <c r="A175" s="3" t="s">
        <v>90</v>
      </c>
      <c r="B175" s="17">
        <f>0</f>
        <v>0</v>
      </c>
      <c r="C175" s="17">
        <f>22953.68</f>
        <v>22953.68</v>
      </c>
      <c r="D175" s="17">
        <f>28961.65</f>
        <v>28961.65</v>
      </c>
      <c r="E175" s="16"/>
      <c r="F175" s="16"/>
      <c r="G175" s="16"/>
      <c r="H175" s="16"/>
      <c r="I175" s="16"/>
      <c r="J175" s="16"/>
      <c r="K175" s="17">
        <f>1995</f>
        <v>1995</v>
      </c>
      <c r="L175" s="22">
        <v>53910.33</v>
      </c>
      <c r="M175" s="27">
        <v>0</v>
      </c>
      <c r="N175" s="32">
        <v>53910.33</v>
      </c>
      <c r="O175" s="37" t="s">
        <v>287</v>
      </c>
      <c r="P175" s="41">
        <v>0</v>
      </c>
      <c r="Q175" s="45"/>
    </row>
    <row r="176" spans="1:17" x14ac:dyDescent="0.25">
      <c r="A176" s="3" t="s">
        <v>89</v>
      </c>
      <c r="B176" s="16"/>
      <c r="C176" s="16"/>
      <c r="D176" s="16"/>
      <c r="E176" s="16"/>
      <c r="F176" s="16"/>
      <c r="G176" s="16"/>
      <c r="H176" s="16"/>
      <c r="I176" s="17">
        <f>44247.77</f>
        <v>44247.77</v>
      </c>
      <c r="J176" s="17">
        <f>46903.18</f>
        <v>46903.18</v>
      </c>
      <c r="K176" s="17">
        <f>8456.1</f>
        <v>8456.1</v>
      </c>
      <c r="L176" s="22">
        <v>99607.05</v>
      </c>
      <c r="M176" s="27">
        <v>0</v>
      </c>
      <c r="N176" s="32">
        <v>99607.05</v>
      </c>
      <c r="O176" s="37" t="s">
        <v>287</v>
      </c>
      <c r="P176" s="41">
        <v>0</v>
      </c>
      <c r="Q176" s="45"/>
    </row>
    <row r="177" spans="1:17" x14ac:dyDescent="0.25">
      <c r="A177" s="3" t="s">
        <v>88</v>
      </c>
      <c r="B177" s="16"/>
      <c r="C177" s="16"/>
      <c r="D177" s="16"/>
      <c r="E177" s="16"/>
      <c r="F177" s="16"/>
      <c r="G177" s="16"/>
      <c r="H177" s="16"/>
      <c r="I177" s="17">
        <f>179</f>
        <v>179</v>
      </c>
      <c r="J177" s="16"/>
      <c r="K177" s="16"/>
      <c r="L177" s="22">
        <v>179</v>
      </c>
      <c r="M177" s="27">
        <v>0</v>
      </c>
      <c r="N177" s="32">
        <v>179</v>
      </c>
      <c r="O177" s="37" t="s">
        <v>287</v>
      </c>
      <c r="P177" s="42">
        <v>0</v>
      </c>
      <c r="Q177" s="46"/>
    </row>
    <row r="178" spans="1:17" x14ac:dyDescent="0.25">
      <c r="A178" s="3" t="s">
        <v>87</v>
      </c>
      <c r="B178" s="18">
        <f t="shared" ref="B178:K178" si="26">(((((B172)+(B173))+(B174))+(B175))+(B176))+(B177)</f>
        <v>0</v>
      </c>
      <c r="C178" s="18">
        <f t="shared" si="26"/>
        <v>25466.37</v>
      </c>
      <c r="D178" s="18">
        <f t="shared" si="26"/>
        <v>28961.65</v>
      </c>
      <c r="E178" s="18">
        <f t="shared" si="26"/>
        <v>32733.05</v>
      </c>
      <c r="F178" s="18">
        <f t="shared" si="26"/>
        <v>21170.959999999999</v>
      </c>
      <c r="G178" s="18">
        <f t="shared" si="26"/>
        <v>21865.09</v>
      </c>
      <c r="H178" s="18">
        <f t="shared" si="26"/>
        <v>22784.22</v>
      </c>
      <c r="I178" s="18">
        <f t="shared" si="26"/>
        <v>44739.27</v>
      </c>
      <c r="J178" s="18">
        <f t="shared" si="26"/>
        <v>46903.18</v>
      </c>
      <c r="K178" s="18">
        <f t="shared" si="26"/>
        <v>27402.75</v>
      </c>
      <c r="L178" s="23">
        <v>272026.53999999998</v>
      </c>
      <c r="M178" s="28">
        <v>215574.19999999995</v>
      </c>
      <c r="N178" s="33">
        <v>56452.340000000026</v>
      </c>
      <c r="O178" s="38">
        <v>1.2618696485943124</v>
      </c>
      <c r="P178" s="41">
        <v>258688.99999999994</v>
      </c>
      <c r="Q178" s="45">
        <f t="shared" si="22"/>
        <v>1.0515582030932897</v>
      </c>
    </row>
    <row r="179" spans="1:17" x14ac:dyDescent="0.25">
      <c r="A179" s="3" t="s">
        <v>86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22">
        <v>0</v>
      </c>
      <c r="M179" s="27">
        <v>0</v>
      </c>
      <c r="N179" s="32">
        <v>0</v>
      </c>
      <c r="O179" s="37" t="s">
        <v>287</v>
      </c>
      <c r="P179" s="41">
        <v>0</v>
      </c>
      <c r="Q179" s="45"/>
    </row>
    <row r="180" spans="1:17" x14ac:dyDescent="0.25">
      <c r="A180" s="3" t="s">
        <v>85</v>
      </c>
      <c r="B180" s="16"/>
      <c r="C180" s="16"/>
      <c r="D180" s="16"/>
      <c r="E180" s="16"/>
      <c r="F180" s="17">
        <f>1245</f>
        <v>1245</v>
      </c>
      <c r="G180" s="17">
        <f>1485</f>
        <v>1485</v>
      </c>
      <c r="H180" s="17">
        <f>840</f>
        <v>840</v>
      </c>
      <c r="I180" s="16"/>
      <c r="J180" s="17">
        <f>1560</f>
        <v>1560</v>
      </c>
      <c r="K180" s="17">
        <f>300</f>
        <v>300</v>
      </c>
      <c r="L180" s="22">
        <v>5430</v>
      </c>
      <c r="M180" s="27">
        <v>0</v>
      </c>
      <c r="N180" s="32">
        <v>5430</v>
      </c>
      <c r="O180" s="37" t="s">
        <v>287</v>
      </c>
      <c r="P180" s="41">
        <v>0</v>
      </c>
      <c r="Q180" s="45"/>
    </row>
    <row r="181" spans="1:17" x14ac:dyDescent="0.25">
      <c r="A181" s="3" t="s">
        <v>84</v>
      </c>
      <c r="B181" s="16"/>
      <c r="C181" s="16"/>
      <c r="D181" s="16"/>
      <c r="E181" s="17">
        <f>1110</f>
        <v>1110</v>
      </c>
      <c r="F181" s="17">
        <f>270</f>
        <v>270</v>
      </c>
      <c r="G181" s="16"/>
      <c r="H181" s="16"/>
      <c r="I181" s="17">
        <f>1480</f>
        <v>1480</v>
      </c>
      <c r="J181" s="17">
        <f>300</f>
        <v>300</v>
      </c>
      <c r="K181" s="16"/>
      <c r="L181" s="22">
        <v>3160</v>
      </c>
      <c r="M181" s="27">
        <v>0</v>
      </c>
      <c r="N181" s="32">
        <v>3160</v>
      </c>
      <c r="O181" s="37" t="s">
        <v>287</v>
      </c>
      <c r="P181" s="41">
        <v>0</v>
      </c>
      <c r="Q181" s="45"/>
    </row>
    <row r="182" spans="1:17" x14ac:dyDescent="0.25">
      <c r="A182" s="3" t="s">
        <v>83</v>
      </c>
      <c r="B182" s="16"/>
      <c r="C182" s="16"/>
      <c r="D182" s="16"/>
      <c r="E182" s="17">
        <f>28.89</f>
        <v>28.89</v>
      </c>
      <c r="F182" s="17">
        <f>725.6</f>
        <v>725.6</v>
      </c>
      <c r="G182" s="17">
        <f>3798.03</f>
        <v>3798.03</v>
      </c>
      <c r="H182" s="16"/>
      <c r="I182" s="17">
        <f>95.97</f>
        <v>95.97</v>
      </c>
      <c r="J182" s="17">
        <f>33</f>
        <v>33</v>
      </c>
      <c r="K182" s="16"/>
      <c r="L182" s="22">
        <v>4681.4900000000007</v>
      </c>
      <c r="M182" s="27">
        <v>0</v>
      </c>
      <c r="N182" s="32">
        <v>4681.4900000000007</v>
      </c>
      <c r="O182" s="37" t="s">
        <v>287</v>
      </c>
      <c r="P182" s="41">
        <v>0</v>
      </c>
      <c r="Q182" s="45"/>
    </row>
    <row r="183" spans="1:17" x14ac:dyDescent="0.25">
      <c r="A183" s="3" t="s">
        <v>82</v>
      </c>
      <c r="B183" s="17">
        <f>1302.93</f>
        <v>1302.93</v>
      </c>
      <c r="C183" s="16"/>
      <c r="D183" s="16"/>
      <c r="E183" s="17">
        <f>3706.02</f>
        <v>3706.02</v>
      </c>
      <c r="F183" s="17">
        <f>568.13</f>
        <v>568.13</v>
      </c>
      <c r="G183" s="17">
        <f>1102.31</f>
        <v>1102.31</v>
      </c>
      <c r="H183" s="17">
        <f>139.84</f>
        <v>139.84</v>
      </c>
      <c r="I183" s="17">
        <f>717.8</f>
        <v>717.8</v>
      </c>
      <c r="J183" s="17">
        <f>248.41</f>
        <v>248.41</v>
      </c>
      <c r="K183" s="17">
        <f>1772.05</f>
        <v>1772.05</v>
      </c>
      <c r="L183" s="22">
        <v>9557.49</v>
      </c>
      <c r="M183" s="27">
        <v>0</v>
      </c>
      <c r="N183" s="32">
        <v>9557.49</v>
      </c>
      <c r="O183" s="37" t="s">
        <v>287</v>
      </c>
      <c r="P183" s="41">
        <v>0</v>
      </c>
      <c r="Q183" s="45"/>
    </row>
    <row r="184" spans="1:17" x14ac:dyDescent="0.25">
      <c r="A184" s="3" t="s">
        <v>81</v>
      </c>
      <c r="B184" s="16"/>
      <c r="C184" s="17">
        <f>60</f>
        <v>60</v>
      </c>
      <c r="D184" s="16"/>
      <c r="E184" s="17">
        <f>54.95</f>
        <v>54.95</v>
      </c>
      <c r="F184" s="17">
        <f>357.53</f>
        <v>357.53</v>
      </c>
      <c r="G184" s="17">
        <f>1095.82</f>
        <v>1095.82</v>
      </c>
      <c r="H184" s="16"/>
      <c r="I184" s="16"/>
      <c r="J184" s="17">
        <f>50</f>
        <v>50</v>
      </c>
      <c r="K184" s="17">
        <f>180</f>
        <v>180</v>
      </c>
      <c r="L184" s="22">
        <v>1798.3</v>
      </c>
      <c r="M184" s="27">
        <v>25835</v>
      </c>
      <c r="N184" s="32">
        <v>-24036.7</v>
      </c>
      <c r="O184" s="37">
        <v>6.960712212115347E-2</v>
      </c>
      <c r="P184" s="42">
        <v>31002</v>
      </c>
      <c r="Q184" s="46">
        <f t="shared" si="22"/>
        <v>5.8005935100961227E-2</v>
      </c>
    </row>
    <row r="185" spans="1:17" x14ac:dyDescent="0.25">
      <c r="A185" s="3" t="s">
        <v>80</v>
      </c>
      <c r="B185" s="18">
        <f t="shared" ref="B185:K185" si="27">(((((B179)+(B180))+(B181))+(B182))+(B183))+(B184)</f>
        <v>1302.93</v>
      </c>
      <c r="C185" s="18">
        <f t="shared" si="27"/>
        <v>60</v>
      </c>
      <c r="D185" s="18">
        <f t="shared" si="27"/>
        <v>0</v>
      </c>
      <c r="E185" s="18">
        <f t="shared" si="27"/>
        <v>4899.8599999999997</v>
      </c>
      <c r="F185" s="18">
        <f t="shared" si="27"/>
        <v>3166.26</v>
      </c>
      <c r="G185" s="18">
        <f t="shared" si="27"/>
        <v>7481.16</v>
      </c>
      <c r="H185" s="18">
        <f t="shared" si="27"/>
        <v>979.84</v>
      </c>
      <c r="I185" s="18">
        <f t="shared" si="27"/>
        <v>2293.77</v>
      </c>
      <c r="J185" s="18">
        <f t="shared" si="27"/>
        <v>2191.41</v>
      </c>
      <c r="K185" s="18">
        <f t="shared" si="27"/>
        <v>2252.0500000000002</v>
      </c>
      <c r="L185" s="23">
        <v>24627.279999999999</v>
      </c>
      <c r="M185" s="28">
        <v>25835</v>
      </c>
      <c r="N185" s="33">
        <v>-1207.7200000000012</v>
      </c>
      <c r="O185" s="38">
        <v>0.95325256435068706</v>
      </c>
      <c r="P185" s="41">
        <v>31002</v>
      </c>
      <c r="Q185" s="45">
        <f t="shared" si="22"/>
        <v>0.79437713695890588</v>
      </c>
    </row>
    <row r="186" spans="1:17" x14ac:dyDescent="0.25">
      <c r="A186" s="3" t="s">
        <v>79</v>
      </c>
      <c r="B186" s="17">
        <f>1919</f>
        <v>1919</v>
      </c>
      <c r="C186" s="17">
        <f>1919</f>
        <v>1919</v>
      </c>
      <c r="D186" s="17">
        <f>1919</f>
        <v>1919</v>
      </c>
      <c r="E186" s="17">
        <f>1919</f>
        <v>1919</v>
      </c>
      <c r="F186" s="17">
        <f>1919</f>
        <v>1919</v>
      </c>
      <c r="G186" s="17">
        <f>1919</f>
        <v>1919</v>
      </c>
      <c r="H186" s="16"/>
      <c r="I186" s="16"/>
      <c r="J186" s="16"/>
      <c r="K186" s="16"/>
      <c r="L186" s="22">
        <v>11514</v>
      </c>
      <c r="M186" s="27">
        <v>0</v>
      </c>
      <c r="N186" s="32">
        <v>11514</v>
      </c>
      <c r="O186" s="37" t="s">
        <v>287</v>
      </c>
      <c r="P186" s="42">
        <v>0</v>
      </c>
      <c r="Q186" s="46"/>
    </row>
    <row r="187" spans="1:17" x14ac:dyDescent="0.25">
      <c r="A187" s="3" t="s">
        <v>78</v>
      </c>
      <c r="B187" s="18">
        <f t="shared" ref="B187:K187" si="28">(((((((((((B36)+(B56))+(B66))+(B71))+(B78))+(B90))+(B130))+(B145))+(B171))+(B178))+(B185))+(B186)</f>
        <v>636146.05000000005</v>
      </c>
      <c r="C187" s="18">
        <f t="shared" si="28"/>
        <v>477041.72000000003</v>
      </c>
      <c r="D187" s="18">
        <f t="shared" si="28"/>
        <v>504125.26999999996</v>
      </c>
      <c r="E187" s="18">
        <f t="shared" si="28"/>
        <v>495867.14999999997</v>
      </c>
      <c r="F187" s="18">
        <f t="shared" si="28"/>
        <v>382914.09000000008</v>
      </c>
      <c r="G187" s="18">
        <f t="shared" si="28"/>
        <v>424264.69999999995</v>
      </c>
      <c r="H187" s="18">
        <f t="shared" si="28"/>
        <v>629187.19999999995</v>
      </c>
      <c r="I187" s="18">
        <f t="shared" si="28"/>
        <v>462181.5500000001</v>
      </c>
      <c r="J187" s="18">
        <f t="shared" si="28"/>
        <v>594393.45000000007</v>
      </c>
      <c r="K187" s="18">
        <f t="shared" si="28"/>
        <v>426424.62</v>
      </c>
      <c r="L187" s="23">
        <v>5032545.8000000007</v>
      </c>
      <c r="M187" s="28">
        <v>5833402.8799999999</v>
      </c>
      <c r="N187" s="33">
        <v>-800857.07999999914</v>
      </c>
      <c r="O187" s="38">
        <v>0.86271185164567288</v>
      </c>
      <c r="P187" s="41">
        <v>7155428</v>
      </c>
      <c r="Q187" s="45">
        <f t="shared" si="22"/>
        <v>0.7033186274811235</v>
      </c>
    </row>
    <row r="188" spans="1:17" x14ac:dyDescent="0.25">
      <c r="A188" s="3" t="s">
        <v>77</v>
      </c>
      <c r="B188" s="17">
        <f>5585.61</f>
        <v>5585.61</v>
      </c>
      <c r="C188" s="17">
        <f>0</f>
        <v>0</v>
      </c>
      <c r="D188" s="17">
        <f>0</f>
        <v>0</v>
      </c>
      <c r="E188" s="17">
        <f>0</f>
        <v>0</v>
      </c>
      <c r="F188" s="16"/>
      <c r="G188" s="16"/>
      <c r="H188" s="16"/>
      <c r="I188" s="16"/>
      <c r="J188" s="16"/>
      <c r="K188" s="16"/>
      <c r="L188" s="22">
        <v>5585.61</v>
      </c>
      <c r="M188" s="27">
        <v>0</v>
      </c>
      <c r="N188" s="32">
        <v>5585.61</v>
      </c>
      <c r="O188" s="37" t="s">
        <v>287</v>
      </c>
      <c r="P188" s="41">
        <v>0</v>
      </c>
      <c r="Q188" s="45"/>
    </row>
    <row r="189" spans="1:17" x14ac:dyDescent="0.25">
      <c r="A189" s="3" t="s">
        <v>76</v>
      </c>
      <c r="B189" s="16"/>
      <c r="C189" s="16"/>
      <c r="D189" s="16"/>
      <c r="E189" s="16"/>
      <c r="F189" s="16"/>
      <c r="G189" s="16"/>
      <c r="H189" s="17">
        <f>7267.27</f>
        <v>7267.27</v>
      </c>
      <c r="I189" s="17">
        <f>5237.84</f>
        <v>5237.84</v>
      </c>
      <c r="J189" s="17">
        <f>7374.7</f>
        <v>7374.7</v>
      </c>
      <c r="K189" s="17">
        <f>4923.56</f>
        <v>4923.5600000000004</v>
      </c>
      <c r="L189" s="22">
        <v>24803.370000000003</v>
      </c>
      <c r="M189" s="27">
        <v>0</v>
      </c>
      <c r="N189" s="32">
        <v>24803.370000000003</v>
      </c>
      <c r="O189" s="37" t="s">
        <v>287</v>
      </c>
      <c r="P189" s="41">
        <v>0</v>
      </c>
      <c r="Q189" s="45"/>
    </row>
    <row r="190" spans="1:17" x14ac:dyDescent="0.25">
      <c r="A190" s="3" t="s">
        <v>75</v>
      </c>
      <c r="B190" s="17">
        <f>6637.84</f>
        <v>6637.84</v>
      </c>
      <c r="C190" s="17">
        <f>5237.84</f>
        <v>5237.84</v>
      </c>
      <c r="D190" s="17">
        <f>5237.84</f>
        <v>5237.84</v>
      </c>
      <c r="E190" s="17">
        <f>5237.84</f>
        <v>5237.84</v>
      </c>
      <c r="F190" s="17">
        <f>5237.84</f>
        <v>5237.84</v>
      </c>
      <c r="G190" s="17">
        <f>5487.84</f>
        <v>5487.84</v>
      </c>
      <c r="H190" s="16"/>
      <c r="I190" s="16"/>
      <c r="J190" s="16"/>
      <c r="K190" s="16"/>
      <c r="L190" s="22">
        <v>33077.040000000001</v>
      </c>
      <c r="M190" s="27">
        <v>52378.399999999994</v>
      </c>
      <c r="N190" s="32">
        <v>-19301.359999999993</v>
      </c>
      <c r="O190" s="37">
        <v>0.63150153498388661</v>
      </c>
      <c r="P190" s="41">
        <v>62853.999999999993</v>
      </c>
      <c r="Q190" s="45">
        <f t="shared" si="22"/>
        <v>0.52625194896108451</v>
      </c>
    </row>
    <row r="191" spans="1:17" x14ac:dyDescent="0.25">
      <c r="A191" s="3" t="s">
        <v>74</v>
      </c>
      <c r="B191" s="16"/>
      <c r="C191" s="16"/>
      <c r="D191" s="16"/>
      <c r="E191" s="16"/>
      <c r="F191" s="16"/>
      <c r="G191" s="16"/>
      <c r="H191" s="16"/>
      <c r="I191" s="17">
        <f>54.99</f>
        <v>54.99</v>
      </c>
      <c r="J191" s="16"/>
      <c r="K191" s="16"/>
      <c r="L191" s="22">
        <v>54.99</v>
      </c>
      <c r="M191" s="27">
        <v>0</v>
      </c>
      <c r="N191" s="32">
        <v>54.99</v>
      </c>
      <c r="O191" s="37" t="s">
        <v>287</v>
      </c>
      <c r="P191" s="41">
        <v>22898</v>
      </c>
      <c r="Q191" s="45">
        <f t="shared" si="22"/>
        <v>2.4015197833871954E-3</v>
      </c>
    </row>
    <row r="192" spans="1:17" x14ac:dyDescent="0.25">
      <c r="A192" s="3" t="s">
        <v>73</v>
      </c>
      <c r="B192" s="17"/>
      <c r="C192" s="17"/>
      <c r="D192" s="17"/>
      <c r="E192" s="17"/>
      <c r="F192" s="17"/>
      <c r="G192" s="17">
        <f>0</f>
        <v>0</v>
      </c>
      <c r="H192" s="17">
        <f>4993.16</f>
        <v>4993.16</v>
      </c>
      <c r="I192" s="17">
        <f>3166.68</f>
        <v>3166.68</v>
      </c>
      <c r="J192" s="17">
        <f>3166.68</f>
        <v>3166.68</v>
      </c>
      <c r="K192" s="17">
        <f>3166.68</f>
        <v>3166.68</v>
      </c>
      <c r="L192" s="22">
        <v>14493.2</v>
      </c>
      <c r="M192" s="27">
        <v>12666.68</v>
      </c>
      <c r="N192" s="32">
        <v>1826.5200000000004</v>
      </c>
      <c r="O192" s="37">
        <v>1.1441987955802153</v>
      </c>
      <c r="P192" s="42">
        <v>19000</v>
      </c>
      <c r="Q192" s="46">
        <f t="shared" si="22"/>
        <v>0.76280000000000003</v>
      </c>
    </row>
    <row r="193" spans="1:17" x14ac:dyDescent="0.25">
      <c r="A193" s="3" t="s">
        <v>72</v>
      </c>
      <c r="B193" s="18">
        <f t="shared" ref="B193:K193" si="29">(((B189)+(B190))+(B191))+(B192)</f>
        <v>6637.84</v>
      </c>
      <c r="C193" s="18">
        <f t="shared" si="29"/>
        <v>5237.84</v>
      </c>
      <c r="D193" s="18">
        <f t="shared" si="29"/>
        <v>5237.84</v>
      </c>
      <c r="E193" s="18">
        <f t="shared" si="29"/>
        <v>5237.84</v>
      </c>
      <c r="F193" s="18">
        <f t="shared" si="29"/>
        <v>5237.84</v>
      </c>
      <c r="G193" s="18">
        <f t="shared" si="29"/>
        <v>5487.84</v>
      </c>
      <c r="H193" s="18">
        <f t="shared" si="29"/>
        <v>12260.43</v>
      </c>
      <c r="I193" s="18">
        <f t="shared" si="29"/>
        <v>8459.51</v>
      </c>
      <c r="J193" s="18">
        <f t="shared" si="29"/>
        <v>10541.38</v>
      </c>
      <c r="K193" s="18">
        <f t="shared" si="29"/>
        <v>8090.24</v>
      </c>
      <c r="L193" s="23">
        <v>72428.600000000006</v>
      </c>
      <c r="M193" s="28">
        <v>65045.080000000009</v>
      </c>
      <c r="N193" s="33">
        <v>7383.5199999999968</v>
      </c>
      <c r="O193" s="38">
        <v>1.1135138891365803</v>
      </c>
      <c r="P193" s="41">
        <v>104752.00000000001</v>
      </c>
      <c r="Q193" s="45">
        <f t="shared" si="22"/>
        <v>0.69142928058652819</v>
      </c>
    </row>
    <row r="194" spans="1:17" x14ac:dyDescent="0.25">
      <c r="A194" s="3" t="s">
        <v>71</v>
      </c>
      <c r="B194" s="16"/>
      <c r="C194" s="16"/>
      <c r="D194" s="16"/>
      <c r="E194" s="16"/>
      <c r="F194" s="16"/>
      <c r="G194" s="16"/>
      <c r="H194" s="16"/>
      <c r="I194" s="17">
        <f>97.68</f>
        <v>97.68</v>
      </c>
      <c r="J194" s="17">
        <f>31504.47</f>
        <v>31504.47</v>
      </c>
      <c r="K194" s="17">
        <f>7108.59</f>
        <v>7108.59</v>
      </c>
      <c r="L194" s="22">
        <v>38710.740000000005</v>
      </c>
      <c r="M194" s="27">
        <v>0</v>
      </c>
      <c r="N194" s="32">
        <v>38710.740000000005</v>
      </c>
      <c r="O194" s="37" t="s">
        <v>287</v>
      </c>
      <c r="P194" s="41">
        <v>0</v>
      </c>
      <c r="Q194" s="45"/>
    </row>
    <row r="195" spans="1:17" x14ac:dyDescent="0.25">
      <c r="A195" s="3" t="s">
        <v>70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22">
        <v>0</v>
      </c>
      <c r="M195" s="27">
        <v>278035.84000000008</v>
      </c>
      <c r="N195" s="32">
        <v>-278035.84000000008</v>
      </c>
      <c r="O195" s="37">
        <v>0</v>
      </c>
      <c r="P195" s="42">
        <v>333643.00000000012</v>
      </c>
      <c r="Q195" s="46">
        <f t="shared" si="22"/>
        <v>0</v>
      </c>
    </row>
    <row r="196" spans="1:17" x14ac:dyDescent="0.25">
      <c r="A196" s="3" t="s">
        <v>69</v>
      </c>
      <c r="B196" s="18">
        <f t="shared" ref="B196:K196" si="30">((((B187)+(B188))+(B193))+(B194))+(B195)</f>
        <v>648369.5</v>
      </c>
      <c r="C196" s="18">
        <f t="shared" si="30"/>
        <v>482279.56000000006</v>
      </c>
      <c r="D196" s="18">
        <f t="shared" si="30"/>
        <v>509363.11</v>
      </c>
      <c r="E196" s="18">
        <f t="shared" si="30"/>
        <v>501104.99</v>
      </c>
      <c r="F196" s="18">
        <f t="shared" si="30"/>
        <v>388151.93000000011</v>
      </c>
      <c r="G196" s="18">
        <f t="shared" si="30"/>
        <v>429752.54</v>
      </c>
      <c r="H196" s="18">
        <f t="shared" si="30"/>
        <v>641447.63</v>
      </c>
      <c r="I196" s="18">
        <f t="shared" si="30"/>
        <v>470738.74000000011</v>
      </c>
      <c r="J196" s="18">
        <f t="shared" si="30"/>
        <v>636439.30000000005</v>
      </c>
      <c r="K196" s="18">
        <f t="shared" si="30"/>
        <v>441623.45</v>
      </c>
      <c r="L196" s="23">
        <v>5149270.7500000009</v>
      </c>
      <c r="M196" s="28">
        <v>6176483.7999999998</v>
      </c>
      <c r="N196" s="33">
        <v>-1027213.0499999989</v>
      </c>
      <c r="O196" s="38">
        <v>0.83368967145999817</v>
      </c>
      <c r="P196" s="43">
        <v>7593823</v>
      </c>
      <c r="Q196" s="47">
        <f t="shared" si="22"/>
        <v>0.67808674892738496</v>
      </c>
    </row>
    <row r="197" spans="1:17" x14ac:dyDescent="0.25">
      <c r="A197" s="3" t="s">
        <v>68</v>
      </c>
      <c r="B197" s="18">
        <f t="shared" ref="B197:K197" si="31">(B34)-(B196)</f>
        <v>-211156.09999999998</v>
      </c>
      <c r="C197" s="18">
        <f t="shared" si="31"/>
        <v>-34362.030000000028</v>
      </c>
      <c r="D197" s="18">
        <f t="shared" si="31"/>
        <v>55749.630000000005</v>
      </c>
      <c r="E197" s="18">
        <f t="shared" si="31"/>
        <v>65527.119999999879</v>
      </c>
      <c r="F197" s="18">
        <f t="shared" si="31"/>
        <v>134883.97999999986</v>
      </c>
      <c r="G197" s="18">
        <f t="shared" si="31"/>
        <v>102371.43</v>
      </c>
      <c r="H197" s="18">
        <f t="shared" si="31"/>
        <v>827.77000000001863</v>
      </c>
      <c r="I197" s="18">
        <f t="shared" si="31"/>
        <v>34582.639999999898</v>
      </c>
      <c r="J197" s="18">
        <f t="shared" si="31"/>
        <v>-122323.85000000003</v>
      </c>
      <c r="K197" s="18">
        <f t="shared" si="31"/>
        <v>161946.27000000008</v>
      </c>
      <c r="L197" s="23">
        <v>188046.85999999969</v>
      </c>
      <c r="M197" s="28">
        <v>113149.08999999997</v>
      </c>
      <c r="N197" s="33">
        <v>74897.769999999728</v>
      </c>
      <c r="O197" s="38">
        <v>1.6619387747616861</v>
      </c>
      <c r="P197" s="43">
        <v>-1.1641532182693481E-10</v>
      </c>
      <c r="Q197" s="47"/>
    </row>
    <row r="198" spans="1:17" x14ac:dyDescent="0.25">
      <c r="A198" s="3" t="s">
        <v>67</v>
      </c>
      <c r="B198" s="18">
        <f t="shared" ref="B198:K198" si="32">(B197)+(0)</f>
        <v>-211156.09999999998</v>
      </c>
      <c r="C198" s="18">
        <f t="shared" si="32"/>
        <v>-34362.030000000028</v>
      </c>
      <c r="D198" s="18">
        <f t="shared" si="32"/>
        <v>55749.630000000005</v>
      </c>
      <c r="E198" s="18">
        <f t="shared" si="32"/>
        <v>65527.119999999879</v>
      </c>
      <c r="F198" s="18">
        <f t="shared" si="32"/>
        <v>134883.97999999986</v>
      </c>
      <c r="G198" s="18">
        <f t="shared" si="32"/>
        <v>102371.43</v>
      </c>
      <c r="H198" s="18">
        <f t="shared" si="32"/>
        <v>827.77000000001863</v>
      </c>
      <c r="I198" s="18">
        <f t="shared" si="32"/>
        <v>34582.639999999898</v>
      </c>
      <c r="J198" s="18">
        <f t="shared" si="32"/>
        <v>-122323.85000000003</v>
      </c>
      <c r="K198" s="18">
        <f t="shared" si="32"/>
        <v>161946.27000000008</v>
      </c>
      <c r="L198" s="23">
        <v>188046.85999999969</v>
      </c>
      <c r="M198" s="28">
        <v>113149.08999999997</v>
      </c>
      <c r="N198" s="33">
        <v>74897.769999999728</v>
      </c>
      <c r="O198" s="38">
        <v>1.6619387747616861</v>
      </c>
      <c r="P198" s="41">
        <v>-1.1641532182693481E-10</v>
      </c>
      <c r="Q198" s="45"/>
    </row>
    <row r="199" spans="1:17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2" spans="1:17" x14ac:dyDescent="0.25">
      <c r="A202" s="129" t="s">
        <v>277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</row>
  </sheetData>
  <autoFilter ref="A5:Q198" xr:uid="{9E7DA3E9-B12B-424F-9684-1C4A887C08C8}">
    <filterColumn colId="11" showButton="0"/>
    <filterColumn colId="12" showButton="0"/>
    <filterColumn colId="13" showButton="0"/>
  </autoFilter>
  <mergeCells count="5">
    <mergeCell ref="L5:O5"/>
    <mergeCell ref="A202:O202"/>
    <mergeCell ref="A1:O1"/>
    <mergeCell ref="A2:O2"/>
    <mergeCell ref="A3:O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8"/>
  <sheetViews>
    <sheetView topLeftCell="A31" workbookViewId="0">
      <selection activeCell="I56" sqref="I56"/>
    </sheetView>
  </sheetViews>
  <sheetFormatPr defaultRowHeight="15" x14ac:dyDescent="0.25"/>
  <cols>
    <col min="1" max="1" width="43" customWidth="1"/>
    <col min="2" max="2" width="23.140625" customWidth="1"/>
  </cols>
  <sheetData>
    <row r="1" spans="1:2" ht="18" x14ac:dyDescent="0.25">
      <c r="A1" s="124" t="s">
        <v>61</v>
      </c>
      <c r="B1" s="125"/>
    </row>
    <row r="2" spans="1:2" ht="18" x14ac:dyDescent="0.25">
      <c r="A2" s="124" t="s">
        <v>62</v>
      </c>
      <c r="B2" s="125"/>
    </row>
    <row r="3" spans="1:2" x14ac:dyDescent="0.25">
      <c r="A3" s="126" t="s">
        <v>63</v>
      </c>
      <c r="B3" s="125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4"/>
    </row>
    <row r="8" spans="1:2" x14ac:dyDescent="0.25">
      <c r="A8" s="3" t="s">
        <v>3</v>
      </c>
      <c r="B8" s="4"/>
    </row>
    <row r="9" spans="1:2" x14ac:dyDescent="0.25">
      <c r="A9" s="3" t="s">
        <v>4</v>
      </c>
      <c r="B9" s="4"/>
    </row>
    <row r="10" spans="1:2" x14ac:dyDescent="0.25">
      <c r="A10" s="3" t="s">
        <v>5</v>
      </c>
      <c r="B10" s="5">
        <f>2586449.66</f>
        <v>2586449.66</v>
      </c>
    </row>
    <row r="11" spans="1:2" x14ac:dyDescent="0.25">
      <c r="A11" s="3" t="s">
        <v>6</v>
      </c>
      <c r="B11" s="5">
        <f>10018.56</f>
        <v>10018.56</v>
      </c>
    </row>
    <row r="12" spans="1:2" x14ac:dyDescent="0.25">
      <c r="A12" s="3" t="s">
        <v>7</v>
      </c>
      <c r="B12" s="5">
        <f>46544.75</f>
        <v>46544.75</v>
      </c>
    </row>
    <row r="13" spans="1:2" x14ac:dyDescent="0.25">
      <c r="A13" s="3" t="s">
        <v>8</v>
      </c>
      <c r="B13" s="5">
        <f>53641.65</f>
        <v>53641.65</v>
      </c>
    </row>
    <row r="14" spans="1:2" x14ac:dyDescent="0.25">
      <c r="A14" s="3" t="s">
        <v>9</v>
      </c>
      <c r="B14" s="5">
        <f>1500513.28</f>
        <v>1500513.28</v>
      </c>
    </row>
    <row r="15" spans="1:2" x14ac:dyDescent="0.25">
      <c r="A15" s="3" t="s">
        <v>10</v>
      </c>
      <c r="B15" s="6">
        <f>(((((B9)+(B10))+(B11))+(B12))+(B13))+(B14)</f>
        <v>4197167.9000000004</v>
      </c>
    </row>
    <row r="16" spans="1:2" x14ac:dyDescent="0.25">
      <c r="A16" s="3" t="s">
        <v>11</v>
      </c>
      <c r="B16" s="6">
        <f>B15</f>
        <v>4197167.9000000004</v>
      </c>
    </row>
    <row r="17" spans="1:2" x14ac:dyDescent="0.25">
      <c r="A17" s="3" t="s">
        <v>12</v>
      </c>
      <c r="B17" s="4"/>
    </row>
    <row r="18" spans="1:2" x14ac:dyDescent="0.25">
      <c r="A18" s="3" t="s">
        <v>13</v>
      </c>
      <c r="B18" s="5">
        <f>180</f>
        <v>180</v>
      </c>
    </row>
    <row r="19" spans="1:2" x14ac:dyDescent="0.25">
      <c r="A19" s="3" t="s">
        <v>14</v>
      </c>
      <c r="B19" s="5">
        <f>473281.36</f>
        <v>473281.36</v>
      </c>
    </row>
    <row r="20" spans="1:2" x14ac:dyDescent="0.25">
      <c r="A20" s="3" t="s">
        <v>15</v>
      </c>
      <c r="B20" s="6">
        <f>(B18)+(B19)</f>
        <v>473461.36</v>
      </c>
    </row>
    <row r="21" spans="1:2" x14ac:dyDescent="0.25">
      <c r="A21" s="3" t="s">
        <v>16</v>
      </c>
      <c r="B21" s="4"/>
    </row>
    <row r="22" spans="1:2" x14ac:dyDescent="0.25">
      <c r="A22" s="3" t="s">
        <v>17</v>
      </c>
      <c r="B22" s="5">
        <f>4000</f>
        <v>4000</v>
      </c>
    </row>
    <row r="23" spans="1:2" x14ac:dyDescent="0.25">
      <c r="A23" s="3" t="s">
        <v>18</v>
      </c>
      <c r="B23" s="5">
        <f>1940.09</f>
        <v>1940.09</v>
      </c>
    </row>
    <row r="24" spans="1:2" x14ac:dyDescent="0.25">
      <c r="A24" s="3" t="s">
        <v>19</v>
      </c>
      <c r="B24" s="5">
        <f>64963.52</f>
        <v>64963.519999999997</v>
      </c>
    </row>
    <row r="25" spans="1:2" x14ac:dyDescent="0.25">
      <c r="A25" s="3" t="s">
        <v>20</v>
      </c>
      <c r="B25" s="5">
        <f>0</f>
        <v>0</v>
      </c>
    </row>
    <row r="26" spans="1:2" x14ac:dyDescent="0.25">
      <c r="A26" s="3" t="s">
        <v>21</v>
      </c>
      <c r="B26" s="5">
        <f>74487</f>
        <v>74487</v>
      </c>
    </row>
    <row r="27" spans="1:2" x14ac:dyDescent="0.25">
      <c r="A27" s="3" t="s">
        <v>22</v>
      </c>
      <c r="B27" s="5">
        <f>2246527</f>
        <v>2246527</v>
      </c>
    </row>
    <row r="28" spans="1:2" x14ac:dyDescent="0.25">
      <c r="A28" s="3" t="s">
        <v>23</v>
      </c>
      <c r="B28" s="5">
        <f>0</f>
        <v>0</v>
      </c>
    </row>
    <row r="29" spans="1:2" x14ac:dyDescent="0.25">
      <c r="A29" s="3" t="s">
        <v>24</v>
      </c>
      <c r="B29" s="6">
        <f>((((((B22)+(B23))+(B24))+(B25))+(B26))+(B27))+(B28)</f>
        <v>2391917.61</v>
      </c>
    </row>
    <row r="30" spans="1:2" x14ac:dyDescent="0.25">
      <c r="A30" s="3" t="s">
        <v>25</v>
      </c>
      <c r="B30" s="6">
        <f>((B16)+(B20))+(B29)</f>
        <v>7062546.870000001</v>
      </c>
    </row>
    <row r="31" spans="1:2" x14ac:dyDescent="0.25">
      <c r="A31" s="3" t="s">
        <v>26</v>
      </c>
      <c r="B31" s="4"/>
    </row>
    <row r="32" spans="1:2" x14ac:dyDescent="0.25">
      <c r="A32" s="3" t="s">
        <v>27</v>
      </c>
      <c r="B32" s="5">
        <f>254037</f>
        <v>254037</v>
      </c>
    </row>
    <row r="33" spans="1:2" x14ac:dyDescent="0.25">
      <c r="A33" s="3" t="s">
        <v>28</v>
      </c>
      <c r="B33" s="5">
        <f>-141321.79</f>
        <v>-141321.79</v>
      </c>
    </row>
    <row r="34" spans="1:2" x14ac:dyDescent="0.25">
      <c r="A34" s="3" t="s">
        <v>29</v>
      </c>
      <c r="B34" s="5">
        <f>489395.87</f>
        <v>489395.87</v>
      </c>
    </row>
    <row r="35" spans="1:2" x14ac:dyDescent="0.25">
      <c r="A35" s="3" t="s">
        <v>30</v>
      </c>
      <c r="B35" s="5">
        <f>-440266.26</f>
        <v>-440266.26</v>
      </c>
    </row>
    <row r="36" spans="1:2" x14ac:dyDescent="0.25">
      <c r="A36" s="3" t="s">
        <v>31</v>
      </c>
      <c r="B36" s="6">
        <f>(((B32)+(B33))+(B34))+(B35)</f>
        <v>161844.81999999995</v>
      </c>
    </row>
    <row r="37" spans="1:2" x14ac:dyDescent="0.25">
      <c r="A37" s="3" t="s">
        <v>32</v>
      </c>
      <c r="B37" s="7">
        <f>(B30)+(B36)</f>
        <v>7224391.6900000013</v>
      </c>
    </row>
    <row r="38" spans="1:2" x14ac:dyDescent="0.25">
      <c r="A38" s="3" t="s">
        <v>33</v>
      </c>
      <c r="B38" s="4"/>
    </row>
    <row r="39" spans="1:2" x14ac:dyDescent="0.25">
      <c r="A39" s="3" t="s">
        <v>34</v>
      </c>
      <c r="B39" s="4"/>
    </row>
    <row r="40" spans="1:2" x14ac:dyDescent="0.25">
      <c r="A40" s="3" t="s">
        <v>35</v>
      </c>
      <c r="B40" s="4"/>
    </row>
    <row r="41" spans="1:2" x14ac:dyDescent="0.25">
      <c r="A41" s="3" t="s">
        <v>36</v>
      </c>
      <c r="B41" s="4"/>
    </row>
    <row r="42" spans="1:2" x14ac:dyDescent="0.25">
      <c r="A42" s="3" t="s">
        <v>37</v>
      </c>
      <c r="B42" s="5">
        <f>-8075</f>
        <v>-8075</v>
      </c>
    </row>
    <row r="43" spans="1:2" x14ac:dyDescent="0.25">
      <c r="A43" s="3" t="s">
        <v>38</v>
      </c>
      <c r="B43" s="6">
        <f>B42</f>
        <v>-8075</v>
      </c>
    </row>
    <row r="44" spans="1:2" x14ac:dyDescent="0.25">
      <c r="A44" s="3" t="s">
        <v>39</v>
      </c>
      <c r="B44" s="4"/>
    </row>
    <row r="45" spans="1:2" x14ac:dyDescent="0.25">
      <c r="A45" s="3" t="s">
        <v>40</v>
      </c>
      <c r="B45" s="5">
        <f>-1209.02</f>
        <v>-1209.02</v>
      </c>
    </row>
    <row r="46" spans="1:2" x14ac:dyDescent="0.25">
      <c r="A46" s="3" t="s">
        <v>41</v>
      </c>
      <c r="B46" s="6">
        <f>B45</f>
        <v>-1209.02</v>
      </c>
    </row>
    <row r="47" spans="1:2" x14ac:dyDescent="0.25">
      <c r="A47" s="3" t="s">
        <v>42</v>
      </c>
      <c r="B47" s="4"/>
    </row>
    <row r="48" spans="1:2" x14ac:dyDescent="0.25">
      <c r="A48" s="3" t="s">
        <v>43</v>
      </c>
      <c r="B48" s="5">
        <f>-1919</f>
        <v>-1919</v>
      </c>
    </row>
    <row r="49" spans="1:2" x14ac:dyDescent="0.25">
      <c r="A49" s="3" t="s">
        <v>44</v>
      </c>
      <c r="B49" s="5">
        <f>214367.61</f>
        <v>214367.61</v>
      </c>
    </row>
    <row r="50" spans="1:2" x14ac:dyDescent="0.25">
      <c r="A50" s="3" t="s">
        <v>45</v>
      </c>
      <c r="B50" s="5">
        <f>0</f>
        <v>0</v>
      </c>
    </row>
    <row r="51" spans="1:2" x14ac:dyDescent="0.25">
      <c r="A51" s="3" t="s">
        <v>46</v>
      </c>
      <c r="B51" s="5">
        <f>-1219.39</f>
        <v>-1219.3900000000001</v>
      </c>
    </row>
    <row r="52" spans="1:2" x14ac:dyDescent="0.25">
      <c r="A52" s="3" t="s">
        <v>47</v>
      </c>
      <c r="B52" s="5">
        <f>23074.46</f>
        <v>23074.46</v>
      </c>
    </row>
    <row r="53" spans="1:2" x14ac:dyDescent="0.25">
      <c r="A53" s="3" t="s">
        <v>48</v>
      </c>
      <c r="B53" s="5">
        <f>5898523</f>
        <v>5898523</v>
      </c>
    </row>
    <row r="54" spans="1:2" x14ac:dyDescent="0.25">
      <c r="A54" s="3" t="s">
        <v>49</v>
      </c>
      <c r="B54" s="5">
        <f>0</f>
        <v>0</v>
      </c>
    </row>
    <row r="55" spans="1:2" x14ac:dyDescent="0.25">
      <c r="A55" s="3" t="s">
        <v>50</v>
      </c>
      <c r="B55" s="6">
        <f>((((((B48)+(B49))+(B50))+(B51))+(B52))+(B53))+(B54)</f>
        <v>6132826.6799999997</v>
      </c>
    </row>
    <row r="56" spans="1:2" x14ac:dyDescent="0.25">
      <c r="A56" s="3" t="s">
        <v>51</v>
      </c>
      <c r="B56" s="6">
        <f>((B43)+(B46))+(B55)</f>
        <v>6123542.6600000001</v>
      </c>
    </row>
    <row r="57" spans="1:2" x14ac:dyDescent="0.25">
      <c r="A57" s="3" t="s">
        <v>52</v>
      </c>
      <c r="B57" s="6">
        <f>B56</f>
        <v>6123542.6600000001</v>
      </c>
    </row>
    <row r="58" spans="1:2" x14ac:dyDescent="0.25">
      <c r="A58" s="3" t="s">
        <v>53</v>
      </c>
      <c r="B58" s="4"/>
    </row>
    <row r="59" spans="1:2" x14ac:dyDescent="0.25">
      <c r="A59" s="3" t="s">
        <v>54</v>
      </c>
      <c r="B59" s="5">
        <f>725258.61</f>
        <v>725258.61</v>
      </c>
    </row>
    <row r="60" spans="1:2" x14ac:dyDescent="0.25">
      <c r="A60" s="3" t="s">
        <v>55</v>
      </c>
      <c r="B60" s="5">
        <f>2064628.18</f>
        <v>2064628.18</v>
      </c>
    </row>
    <row r="61" spans="1:2" x14ac:dyDescent="0.25">
      <c r="A61" s="3" t="s">
        <v>56</v>
      </c>
      <c r="B61" s="5">
        <f>-1877084.62</f>
        <v>-1877084.62</v>
      </c>
    </row>
    <row r="62" spans="1:2" x14ac:dyDescent="0.25">
      <c r="A62" s="3" t="s">
        <v>57</v>
      </c>
      <c r="B62" s="5">
        <f>188046.86</f>
        <v>188046.86</v>
      </c>
    </row>
    <row r="63" spans="1:2" x14ac:dyDescent="0.25">
      <c r="A63" s="3" t="s">
        <v>58</v>
      </c>
      <c r="B63" s="6">
        <f>(((B59)+(B60))+(B61))+(B62)</f>
        <v>1100849.0299999998</v>
      </c>
    </row>
    <row r="64" spans="1:2" x14ac:dyDescent="0.25">
      <c r="A64" s="3" t="s">
        <v>59</v>
      </c>
      <c r="B64" s="7">
        <f>(B57)+(B63)</f>
        <v>7224391.6899999995</v>
      </c>
    </row>
    <row r="65" spans="1:2" x14ac:dyDescent="0.25">
      <c r="A65" s="3"/>
      <c r="B65" s="4"/>
    </row>
    <row r="68" spans="1:2" x14ac:dyDescent="0.25">
      <c r="A68" s="129" t="s">
        <v>60</v>
      </c>
      <c r="B68" s="125"/>
    </row>
  </sheetData>
  <mergeCells count="4">
    <mergeCell ref="A68:B68"/>
    <mergeCell ref="A1:B1"/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6CCFB-CA6C-4757-A872-BEB6FE165D69}">
  <dimension ref="A1:BA202"/>
  <sheetViews>
    <sheetView topLeftCell="A12" workbookViewId="0">
      <selection activeCell="N17" sqref="N17"/>
    </sheetView>
  </sheetViews>
  <sheetFormatPr defaultRowHeight="15" x14ac:dyDescent="0.25"/>
  <cols>
    <col min="1" max="1" width="46.42578125" customWidth="1"/>
    <col min="2" max="2" width="12" customWidth="1"/>
    <col min="3" max="3" width="10.28515625" customWidth="1"/>
    <col min="4" max="4" width="12" customWidth="1"/>
    <col min="5" max="5" width="10.28515625" customWidth="1"/>
    <col min="6" max="6" width="11.140625" customWidth="1"/>
    <col min="7" max="7" width="10.28515625" customWidth="1"/>
    <col min="8" max="8" width="12" customWidth="1"/>
    <col min="9" max="9" width="9.42578125" customWidth="1"/>
    <col min="10" max="11" width="10.28515625" customWidth="1"/>
    <col min="12" max="12" width="11.140625" customWidth="1"/>
    <col min="13" max="13" width="7.7109375" customWidth="1"/>
    <col min="14" max="15" width="10.28515625" customWidth="1"/>
    <col min="16" max="16" width="11.140625" customWidth="1"/>
    <col min="17" max="17" width="9.42578125" customWidth="1"/>
    <col min="18" max="19" width="10.28515625" customWidth="1"/>
    <col min="20" max="20" width="12" customWidth="1"/>
    <col min="21" max="21" width="7.7109375" customWidth="1"/>
    <col min="22" max="23" width="10.28515625" customWidth="1"/>
    <col min="24" max="24" width="12" customWidth="1"/>
    <col min="25" max="25" width="7.7109375" customWidth="1"/>
    <col min="26" max="27" width="10.28515625" customWidth="1"/>
    <col min="28" max="28" width="11.140625" customWidth="1"/>
    <col min="29" max="29" width="7.7109375" customWidth="1"/>
    <col min="30" max="31" width="10.28515625" customWidth="1"/>
    <col min="32" max="32" width="12" customWidth="1"/>
    <col min="33" max="33" width="10.28515625" customWidth="1"/>
    <col min="34" max="34" width="12" customWidth="1"/>
    <col min="35" max="35" width="10.28515625" customWidth="1"/>
    <col min="36" max="36" width="12" customWidth="1"/>
    <col min="37" max="37" width="9.42578125" customWidth="1"/>
    <col min="38" max="39" width="10.28515625" style="112" customWidth="1"/>
    <col min="40" max="40" width="12" style="112" customWidth="1"/>
    <col min="41" max="41" width="10.28515625" style="112" customWidth="1"/>
    <col min="42" max="42" width="10.28515625" customWidth="1"/>
    <col min="43" max="43" width="11.140625" customWidth="1"/>
    <col min="44" max="44" width="12" customWidth="1"/>
    <col min="45" max="45" width="10.28515625" customWidth="1"/>
    <col min="46" max="46" width="11.140625" customWidth="1"/>
    <col min="47" max="48" width="12" customWidth="1"/>
    <col min="49" max="49" width="9.42578125" customWidth="1"/>
    <col min="50" max="51" width="12" customWidth="1"/>
    <col min="52" max="52" width="13.7109375" hidden="1" customWidth="1"/>
    <col min="53" max="53" width="7.7109375" hidden="1" customWidth="1"/>
  </cols>
  <sheetData>
    <row r="1" spans="1:53" ht="18" x14ac:dyDescent="0.25">
      <c r="A1" s="10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96"/>
      <c r="AM1" s="96"/>
      <c r="AN1" s="96"/>
      <c r="AO1" s="96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ht="18" x14ac:dyDescent="0.25">
      <c r="A2" s="10" t="s">
        <v>276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96"/>
      <c r="AM2" s="96"/>
      <c r="AN2" s="96"/>
      <c r="AO2" s="96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x14ac:dyDescent="0.25">
      <c r="A3" s="12" t="s">
        <v>275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6"/>
      <c r="AM3" s="96"/>
      <c r="AN3" s="96"/>
      <c r="AO3" s="96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5" spans="1:53" x14ac:dyDescent="0.25">
      <c r="A5" s="1"/>
      <c r="B5" s="127" t="s">
        <v>274</v>
      </c>
      <c r="C5" s="128"/>
      <c r="D5" s="128"/>
      <c r="E5" s="128"/>
      <c r="F5" s="127" t="s">
        <v>273</v>
      </c>
      <c r="G5" s="128"/>
      <c r="H5" s="128"/>
      <c r="I5" s="128"/>
      <c r="J5" s="127" t="s">
        <v>272</v>
      </c>
      <c r="K5" s="128"/>
      <c r="L5" s="128"/>
      <c r="M5" s="128"/>
      <c r="N5" s="127" t="s">
        <v>271</v>
      </c>
      <c r="O5" s="128"/>
      <c r="P5" s="128"/>
      <c r="Q5" s="128"/>
      <c r="R5" s="127" t="s">
        <v>270</v>
      </c>
      <c r="S5" s="128"/>
      <c r="T5" s="128"/>
      <c r="U5" s="128"/>
      <c r="V5" s="127" t="s">
        <v>269</v>
      </c>
      <c r="W5" s="128"/>
      <c r="X5" s="128"/>
      <c r="Y5" s="128"/>
      <c r="Z5" s="127" t="s">
        <v>268</v>
      </c>
      <c r="AA5" s="128"/>
      <c r="AB5" s="128"/>
      <c r="AC5" s="128"/>
      <c r="AD5" s="127" t="s">
        <v>267</v>
      </c>
      <c r="AE5" s="128"/>
      <c r="AF5" s="128"/>
      <c r="AG5" s="128"/>
      <c r="AH5" s="127" t="s">
        <v>266</v>
      </c>
      <c r="AI5" s="128"/>
      <c r="AJ5" s="128"/>
      <c r="AK5" s="128"/>
      <c r="AL5" s="130" t="s">
        <v>265</v>
      </c>
      <c r="AM5" s="131"/>
      <c r="AN5" s="131"/>
      <c r="AO5" s="131"/>
      <c r="AP5" s="127" t="s">
        <v>264</v>
      </c>
      <c r="AQ5" s="128"/>
      <c r="AR5" s="128"/>
      <c r="AS5" s="128"/>
      <c r="AT5" s="127" t="s">
        <v>263</v>
      </c>
      <c r="AU5" s="128"/>
      <c r="AV5" s="128"/>
      <c r="AW5" s="128"/>
      <c r="AX5" s="127" t="s">
        <v>0</v>
      </c>
      <c r="AY5" s="128"/>
      <c r="AZ5" s="128"/>
      <c r="BA5" s="128"/>
    </row>
    <row r="6" spans="1:53" ht="24.75" x14ac:dyDescent="0.25">
      <c r="A6" s="1"/>
      <c r="B6" s="2" t="s">
        <v>262</v>
      </c>
      <c r="C6" s="2" t="s">
        <v>261</v>
      </c>
      <c r="D6" s="2" t="s">
        <v>260</v>
      </c>
      <c r="E6" s="2" t="s">
        <v>259</v>
      </c>
      <c r="F6" s="2" t="s">
        <v>262</v>
      </c>
      <c r="G6" s="2" t="s">
        <v>261</v>
      </c>
      <c r="H6" s="2" t="s">
        <v>260</v>
      </c>
      <c r="I6" s="2" t="s">
        <v>259</v>
      </c>
      <c r="J6" s="2" t="s">
        <v>262</v>
      </c>
      <c r="K6" s="2" t="s">
        <v>261</v>
      </c>
      <c r="L6" s="2" t="s">
        <v>260</v>
      </c>
      <c r="M6" s="2" t="s">
        <v>259</v>
      </c>
      <c r="N6" s="2" t="s">
        <v>262</v>
      </c>
      <c r="O6" s="2" t="s">
        <v>261</v>
      </c>
      <c r="P6" s="2" t="s">
        <v>260</v>
      </c>
      <c r="Q6" s="2" t="s">
        <v>259</v>
      </c>
      <c r="R6" s="2" t="s">
        <v>262</v>
      </c>
      <c r="S6" s="2" t="s">
        <v>261</v>
      </c>
      <c r="T6" s="2" t="s">
        <v>260</v>
      </c>
      <c r="U6" s="2" t="s">
        <v>259</v>
      </c>
      <c r="V6" s="2" t="s">
        <v>262</v>
      </c>
      <c r="W6" s="2" t="s">
        <v>261</v>
      </c>
      <c r="X6" s="2" t="s">
        <v>260</v>
      </c>
      <c r="Y6" s="2" t="s">
        <v>259</v>
      </c>
      <c r="Z6" s="2" t="s">
        <v>262</v>
      </c>
      <c r="AA6" s="2" t="s">
        <v>261</v>
      </c>
      <c r="AB6" s="2" t="s">
        <v>260</v>
      </c>
      <c r="AC6" s="2" t="s">
        <v>259</v>
      </c>
      <c r="AD6" s="2" t="s">
        <v>262</v>
      </c>
      <c r="AE6" s="2" t="s">
        <v>261</v>
      </c>
      <c r="AF6" s="2" t="s">
        <v>260</v>
      </c>
      <c r="AG6" s="2" t="s">
        <v>259</v>
      </c>
      <c r="AH6" s="2" t="s">
        <v>262</v>
      </c>
      <c r="AI6" s="2" t="s">
        <v>261</v>
      </c>
      <c r="AJ6" s="2" t="s">
        <v>260</v>
      </c>
      <c r="AK6" s="2" t="s">
        <v>259</v>
      </c>
      <c r="AL6" s="106" t="s">
        <v>262</v>
      </c>
      <c r="AM6" s="106" t="s">
        <v>261</v>
      </c>
      <c r="AN6" s="106" t="s">
        <v>260</v>
      </c>
      <c r="AO6" s="106" t="s">
        <v>259</v>
      </c>
      <c r="AP6" s="2" t="s">
        <v>262</v>
      </c>
      <c r="AQ6" s="2" t="s">
        <v>261</v>
      </c>
      <c r="AR6" s="2" t="s">
        <v>260</v>
      </c>
      <c r="AS6" s="2" t="s">
        <v>259</v>
      </c>
      <c r="AT6" s="2" t="s">
        <v>262</v>
      </c>
      <c r="AU6" s="2" t="s">
        <v>261</v>
      </c>
      <c r="AV6" s="2" t="s">
        <v>260</v>
      </c>
      <c r="AW6" s="2" t="s">
        <v>259</v>
      </c>
      <c r="AX6" s="2" t="s">
        <v>262</v>
      </c>
      <c r="AY6" s="2" t="s">
        <v>261</v>
      </c>
      <c r="AZ6" s="2" t="s">
        <v>260</v>
      </c>
      <c r="BA6" s="2" t="s">
        <v>259</v>
      </c>
    </row>
    <row r="7" spans="1:53" x14ac:dyDescent="0.25">
      <c r="A7" s="3" t="s">
        <v>258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07"/>
      <c r="AM7" s="107"/>
      <c r="AN7" s="107"/>
      <c r="AO7" s="107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x14ac:dyDescent="0.25">
      <c r="A8" s="3" t="s">
        <v>257</v>
      </c>
      <c r="B8" s="4"/>
      <c r="C8" s="4"/>
      <c r="D8" s="5">
        <f t="shared" ref="D8:D30" si="0">(B8)-(C8)</f>
        <v>0</v>
      </c>
      <c r="E8" s="9" t="str">
        <f t="shared" ref="E8:E30" si="1">IF(C8=0,"",(B8)/(C8))</f>
        <v/>
      </c>
      <c r="F8" s="4"/>
      <c r="G8" s="4"/>
      <c r="H8" s="5">
        <f t="shared" ref="H8:H30" si="2">(F8)-(G8)</f>
        <v>0</v>
      </c>
      <c r="I8" s="9" t="str">
        <f t="shared" ref="I8:I30" si="3">IF(G8=0,"",(F8)/(G8))</f>
        <v/>
      </c>
      <c r="J8" s="4"/>
      <c r="K8" s="4"/>
      <c r="L8" s="5">
        <f t="shared" ref="L8:L30" si="4">(J8)-(K8)</f>
        <v>0</v>
      </c>
      <c r="M8" s="9" t="str">
        <f t="shared" ref="M8:M30" si="5">IF(K8=0,"",(J8)/(K8))</f>
        <v/>
      </c>
      <c r="N8" s="4"/>
      <c r="O8" s="4"/>
      <c r="P8" s="5">
        <f t="shared" ref="P8:P30" si="6">(N8)-(O8)</f>
        <v>0</v>
      </c>
      <c r="Q8" s="9" t="str">
        <f t="shared" ref="Q8:Q30" si="7">IF(O8=0,"",(N8)/(O8))</f>
        <v/>
      </c>
      <c r="R8" s="5">
        <f>276.19</f>
        <v>276.19</v>
      </c>
      <c r="S8" s="4"/>
      <c r="T8" s="5">
        <f t="shared" ref="T8:T30" si="8">(R8)-(S8)</f>
        <v>276.19</v>
      </c>
      <c r="U8" s="9" t="str">
        <f t="shared" ref="U8:U30" si="9">IF(S8=0,"",(R8)/(S8))</f>
        <v/>
      </c>
      <c r="V8" s="4"/>
      <c r="W8" s="4"/>
      <c r="X8" s="5">
        <f t="shared" ref="X8:X30" si="10">(V8)-(W8)</f>
        <v>0</v>
      </c>
      <c r="Y8" s="9" t="str">
        <f t="shared" ref="Y8:Y30" si="11">IF(W8=0,"",(V8)/(W8))</f>
        <v/>
      </c>
      <c r="Z8" s="4"/>
      <c r="AA8" s="4"/>
      <c r="AB8" s="5">
        <f t="shared" ref="AB8:AB30" si="12">(Z8)-(AA8)</f>
        <v>0</v>
      </c>
      <c r="AC8" s="9" t="str">
        <f t="shared" ref="AC8:AC30" si="13">IF(AA8=0,"",(Z8)/(AA8))</f>
        <v/>
      </c>
      <c r="AD8" s="4"/>
      <c r="AE8" s="4"/>
      <c r="AF8" s="5">
        <f t="shared" ref="AF8:AF30" si="14">(AD8)-(AE8)</f>
        <v>0</v>
      </c>
      <c r="AG8" s="9" t="str">
        <f t="shared" ref="AG8:AG30" si="15">IF(AE8=0,"",(AD8)/(AE8))</f>
        <v/>
      </c>
      <c r="AH8" s="5">
        <f>248.29</f>
        <v>248.29</v>
      </c>
      <c r="AI8" s="4"/>
      <c r="AJ8" s="5">
        <f t="shared" ref="AJ8:AJ30" si="16">(AH8)-(AI8)</f>
        <v>248.29</v>
      </c>
      <c r="AK8" s="9" t="str">
        <f t="shared" ref="AK8:AK30" si="17">IF(AI8=0,"",(AH8)/(AI8))</f>
        <v/>
      </c>
      <c r="AL8" s="107"/>
      <c r="AM8" s="107"/>
      <c r="AN8" s="108">
        <f t="shared" ref="AN8:AN30" si="18">(AL8)-(AM8)</f>
        <v>0</v>
      </c>
      <c r="AO8" s="109" t="str">
        <f t="shared" ref="AO8:AO30" si="19">IF(AM8=0,"",(AL8)/(AM8))</f>
        <v/>
      </c>
      <c r="AP8" s="4"/>
      <c r="AQ8" s="4"/>
      <c r="AR8" s="5">
        <f t="shared" ref="AR8:AR30" si="20">(AP8)-(AQ8)</f>
        <v>0</v>
      </c>
      <c r="AS8" s="9" t="str">
        <f t="shared" ref="AS8:AS30" si="21">IF(AQ8=0,"",(AP8)/(AQ8))</f>
        <v/>
      </c>
      <c r="AT8" s="4"/>
      <c r="AU8" s="4"/>
      <c r="AV8" s="5">
        <f t="shared" ref="AV8:AV30" si="22">(AT8)-(AU8)</f>
        <v>0</v>
      </c>
      <c r="AW8" s="9" t="str">
        <f t="shared" ref="AW8:AW30" si="23">IF(AU8=0,"",(AT8)/(AU8))</f>
        <v/>
      </c>
      <c r="AX8" s="5">
        <f t="shared" ref="AX8:AX30" si="24">(((((((((((B8)+(F8))+(J8))+(N8))+(R8))+(V8))+(Z8))+(AD8))+(AH8))+(AL8))+(AP8))+(AT8)</f>
        <v>524.48</v>
      </c>
      <c r="AY8" s="5">
        <v>0</v>
      </c>
      <c r="AZ8" s="5">
        <f t="shared" ref="AZ8:AZ30" si="25">(AX8)-(AY8)</f>
        <v>524.48</v>
      </c>
      <c r="BA8" s="9" t="str">
        <f t="shared" ref="BA8:BA30" si="26">IF(AY8=0,"",(AX8)/(AY8))</f>
        <v/>
      </c>
    </row>
    <row r="9" spans="1:53" x14ac:dyDescent="0.25">
      <c r="A9" s="3" t="s">
        <v>256</v>
      </c>
      <c r="B9" s="4"/>
      <c r="C9" s="4"/>
      <c r="D9" s="5">
        <f t="shared" si="0"/>
        <v>0</v>
      </c>
      <c r="E9" s="9" t="str">
        <f t="shared" si="1"/>
        <v/>
      </c>
      <c r="F9" s="4"/>
      <c r="G9" s="4"/>
      <c r="H9" s="5">
        <f t="shared" si="2"/>
        <v>0</v>
      </c>
      <c r="I9" s="9" t="str">
        <f t="shared" si="3"/>
        <v/>
      </c>
      <c r="J9" s="4"/>
      <c r="K9" s="4"/>
      <c r="L9" s="5">
        <f t="shared" si="4"/>
        <v>0</v>
      </c>
      <c r="M9" s="9" t="str">
        <f t="shared" si="5"/>
        <v/>
      </c>
      <c r="N9" s="4"/>
      <c r="O9" s="4"/>
      <c r="P9" s="5">
        <f t="shared" si="6"/>
        <v>0</v>
      </c>
      <c r="Q9" s="9" t="str">
        <f t="shared" si="7"/>
        <v/>
      </c>
      <c r="R9" s="4"/>
      <c r="S9" s="4"/>
      <c r="T9" s="5">
        <f t="shared" si="8"/>
        <v>0</v>
      </c>
      <c r="U9" s="9" t="str">
        <f t="shared" si="9"/>
        <v/>
      </c>
      <c r="V9" s="4"/>
      <c r="W9" s="4"/>
      <c r="X9" s="5">
        <f t="shared" si="10"/>
        <v>0</v>
      </c>
      <c r="Y9" s="9" t="str">
        <f t="shared" si="11"/>
        <v/>
      </c>
      <c r="Z9" s="4"/>
      <c r="AA9" s="4"/>
      <c r="AB9" s="5">
        <f t="shared" si="12"/>
        <v>0</v>
      </c>
      <c r="AC9" s="9" t="str">
        <f t="shared" si="13"/>
        <v/>
      </c>
      <c r="AD9" s="4"/>
      <c r="AE9" s="4"/>
      <c r="AF9" s="5">
        <f t="shared" si="14"/>
        <v>0</v>
      </c>
      <c r="AG9" s="9" t="str">
        <f t="shared" si="15"/>
        <v/>
      </c>
      <c r="AH9" s="4"/>
      <c r="AI9" s="4"/>
      <c r="AJ9" s="5">
        <f t="shared" si="16"/>
        <v>0</v>
      </c>
      <c r="AK9" s="9" t="str">
        <f t="shared" si="17"/>
        <v/>
      </c>
      <c r="AL9" s="107"/>
      <c r="AM9" s="107"/>
      <c r="AN9" s="108">
        <f t="shared" si="18"/>
        <v>0</v>
      </c>
      <c r="AO9" s="109" t="str">
        <f t="shared" si="19"/>
        <v/>
      </c>
      <c r="AP9" s="4"/>
      <c r="AQ9" s="4"/>
      <c r="AR9" s="5">
        <f t="shared" si="20"/>
        <v>0</v>
      </c>
      <c r="AS9" s="9" t="str">
        <f t="shared" si="21"/>
        <v/>
      </c>
      <c r="AT9" s="4"/>
      <c r="AU9" s="4"/>
      <c r="AV9" s="5">
        <f t="shared" si="22"/>
        <v>0</v>
      </c>
      <c r="AW9" s="9" t="str">
        <f t="shared" si="23"/>
        <v/>
      </c>
      <c r="AX9" s="5">
        <f t="shared" si="24"/>
        <v>0</v>
      </c>
      <c r="AY9" s="5">
        <v>0</v>
      </c>
      <c r="AZ9" s="5">
        <f t="shared" si="25"/>
        <v>0</v>
      </c>
      <c r="BA9" s="9" t="str">
        <f t="shared" si="26"/>
        <v/>
      </c>
    </row>
    <row r="10" spans="1:53" x14ac:dyDescent="0.25">
      <c r="A10" s="3" t="s">
        <v>255</v>
      </c>
      <c r="B10" s="5">
        <f>4.57</f>
        <v>4.57</v>
      </c>
      <c r="C10" s="4"/>
      <c r="D10" s="5">
        <f t="shared" si="0"/>
        <v>4.57</v>
      </c>
      <c r="E10" s="9" t="str">
        <f t="shared" si="1"/>
        <v/>
      </c>
      <c r="F10" s="5">
        <f>49.98</f>
        <v>49.98</v>
      </c>
      <c r="G10" s="4"/>
      <c r="H10" s="5">
        <f t="shared" si="2"/>
        <v>49.98</v>
      </c>
      <c r="I10" s="9" t="str">
        <f t="shared" si="3"/>
        <v/>
      </c>
      <c r="J10" s="5">
        <f>9.16</f>
        <v>9.16</v>
      </c>
      <c r="K10" s="4"/>
      <c r="L10" s="5">
        <f t="shared" si="4"/>
        <v>9.16</v>
      </c>
      <c r="M10" s="9" t="str">
        <f t="shared" si="5"/>
        <v/>
      </c>
      <c r="N10" s="4"/>
      <c r="O10" s="4"/>
      <c r="P10" s="5">
        <f t="shared" si="6"/>
        <v>0</v>
      </c>
      <c r="Q10" s="9" t="str">
        <f t="shared" si="7"/>
        <v/>
      </c>
      <c r="R10" s="4"/>
      <c r="S10" s="4"/>
      <c r="T10" s="5">
        <f t="shared" si="8"/>
        <v>0</v>
      </c>
      <c r="U10" s="9" t="str">
        <f t="shared" si="9"/>
        <v/>
      </c>
      <c r="V10" s="5">
        <f>88.16</f>
        <v>88.16</v>
      </c>
      <c r="W10" s="4"/>
      <c r="X10" s="5">
        <f t="shared" si="10"/>
        <v>88.16</v>
      </c>
      <c r="Y10" s="9" t="str">
        <f t="shared" si="11"/>
        <v/>
      </c>
      <c r="Z10" s="5">
        <f>195.25</f>
        <v>195.25</v>
      </c>
      <c r="AA10" s="4"/>
      <c r="AB10" s="5">
        <f t="shared" si="12"/>
        <v>195.25</v>
      </c>
      <c r="AC10" s="9" t="str">
        <f t="shared" si="13"/>
        <v/>
      </c>
      <c r="AD10" s="5">
        <f>10</f>
        <v>10</v>
      </c>
      <c r="AE10" s="4"/>
      <c r="AF10" s="5">
        <f t="shared" si="14"/>
        <v>10</v>
      </c>
      <c r="AG10" s="9" t="str">
        <f t="shared" si="15"/>
        <v/>
      </c>
      <c r="AH10" s="5">
        <f>8.16</f>
        <v>8.16</v>
      </c>
      <c r="AI10" s="4"/>
      <c r="AJ10" s="5">
        <f t="shared" si="16"/>
        <v>8.16</v>
      </c>
      <c r="AK10" s="9" t="str">
        <f t="shared" si="17"/>
        <v/>
      </c>
      <c r="AL10" s="107"/>
      <c r="AM10" s="107"/>
      <c r="AN10" s="108">
        <f t="shared" si="18"/>
        <v>0</v>
      </c>
      <c r="AO10" s="109" t="str">
        <f t="shared" si="19"/>
        <v/>
      </c>
      <c r="AP10" s="4"/>
      <c r="AQ10" s="4"/>
      <c r="AR10" s="5">
        <f t="shared" si="20"/>
        <v>0</v>
      </c>
      <c r="AS10" s="9" t="str">
        <f t="shared" si="21"/>
        <v/>
      </c>
      <c r="AT10" s="4"/>
      <c r="AU10" s="4"/>
      <c r="AV10" s="5">
        <f t="shared" si="22"/>
        <v>0</v>
      </c>
      <c r="AW10" s="9" t="str">
        <f t="shared" si="23"/>
        <v/>
      </c>
      <c r="AX10" s="5">
        <f t="shared" si="24"/>
        <v>365.28000000000003</v>
      </c>
      <c r="AY10" s="5">
        <v>0</v>
      </c>
      <c r="AZ10" s="5">
        <f t="shared" si="25"/>
        <v>365.28000000000003</v>
      </c>
      <c r="BA10" s="9" t="str">
        <f t="shared" si="26"/>
        <v/>
      </c>
    </row>
    <row r="11" spans="1:53" x14ac:dyDescent="0.25">
      <c r="A11" s="3" t="s">
        <v>254</v>
      </c>
      <c r="B11" s="4"/>
      <c r="C11" s="4"/>
      <c r="D11" s="5">
        <f t="shared" si="0"/>
        <v>0</v>
      </c>
      <c r="E11" s="9" t="str">
        <f t="shared" si="1"/>
        <v/>
      </c>
      <c r="F11" s="4"/>
      <c r="G11" s="4"/>
      <c r="H11" s="5">
        <f t="shared" si="2"/>
        <v>0</v>
      </c>
      <c r="I11" s="9" t="str">
        <f t="shared" si="3"/>
        <v/>
      </c>
      <c r="J11" s="4"/>
      <c r="K11" s="4"/>
      <c r="L11" s="5">
        <f t="shared" si="4"/>
        <v>0</v>
      </c>
      <c r="M11" s="9" t="str">
        <f t="shared" si="5"/>
        <v/>
      </c>
      <c r="N11" s="4"/>
      <c r="O11" s="4"/>
      <c r="P11" s="5">
        <f t="shared" si="6"/>
        <v>0</v>
      </c>
      <c r="Q11" s="9" t="str">
        <f t="shared" si="7"/>
        <v/>
      </c>
      <c r="R11" s="5">
        <f>4.55</f>
        <v>4.55</v>
      </c>
      <c r="S11" s="4"/>
      <c r="T11" s="5">
        <f t="shared" si="8"/>
        <v>4.55</v>
      </c>
      <c r="U11" s="9" t="str">
        <f t="shared" si="9"/>
        <v/>
      </c>
      <c r="V11" s="4"/>
      <c r="W11" s="4"/>
      <c r="X11" s="5">
        <f t="shared" si="10"/>
        <v>0</v>
      </c>
      <c r="Y11" s="9" t="str">
        <f t="shared" si="11"/>
        <v/>
      </c>
      <c r="Z11" s="5">
        <f>9.98</f>
        <v>9.98</v>
      </c>
      <c r="AA11" s="4"/>
      <c r="AB11" s="5">
        <f t="shared" si="12"/>
        <v>9.98</v>
      </c>
      <c r="AC11" s="9" t="str">
        <f t="shared" si="13"/>
        <v/>
      </c>
      <c r="AD11" s="4"/>
      <c r="AE11" s="4"/>
      <c r="AF11" s="5">
        <f t="shared" si="14"/>
        <v>0</v>
      </c>
      <c r="AG11" s="9" t="str">
        <f t="shared" si="15"/>
        <v/>
      </c>
      <c r="AH11" s="5">
        <f>9.95</f>
        <v>9.9499999999999993</v>
      </c>
      <c r="AI11" s="4"/>
      <c r="AJ11" s="5">
        <f t="shared" si="16"/>
        <v>9.9499999999999993</v>
      </c>
      <c r="AK11" s="9" t="str">
        <f t="shared" si="17"/>
        <v/>
      </c>
      <c r="AL11" s="108">
        <f>9.9</f>
        <v>9.9</v>
      </c>
      <c r="AM11" s="107"/>
      <c r="AN11" s="108">
        <f t="shared" si="18"/>
        <v>9.9</v>
      </c>
      <c r="AO11" s="109" t="str">
        <f t="shared" si="19"/>
        <v/>
      </c>
      <c r="AP11" s="5">
        <f>10</f>
        <v>10</v>
      </c>
      <c r="AQ11" s="4"/>
      <c r="AR11" s="5">
        <f t="shared" si="20"/>
        <v>10</v>
      </c>
      <c r="AS11" s="9" t="str">
        <f t="shared" si="21"/>
        <v/>
      </c>
      <c r="AT11" s="4"/>
      <c r="AU11" s="4"/>
      <c r="AV11" s="5">
        <f t="shared" si="22"/>
        <v>0</v>
      </c>
      <c r="AW11" s="9" t="str">
        <f t="shared" si="23"/>
        <v/>
      </c>
      <c r="AX11" s="5">
        <f t="shared" si="24"/>
        <v>44.38</v>
      </c>
      <c r="AY11" s="5">
        <v>0</v>
      </c>
      <c r="AZ11" s="5">
        <f t="shared" si="25"/>
        <v>44.38</v>
      </c>
      <c r="BA11" s="9" t="str">
        <f t="shared" si="26"/>
        <v/>
      </c>
    </row>
    <row r="12" spans="1:53" x14ac:dyDescent="0.25">
      <c r="A12" s="3" t="s">
        <v>253</v>
      </c>
      <c r="B12" s="4"/>
      <c r="C12" s="4"/>
      <c r="D12" s="5">
        <f t="shared" si="0"/>
        <v>0</v>
      </c>
      <c r="E12" s="9" t="str">
        <f t="shared" si="1"/>
        <v/>
      </c>
      <c r="F12" s="5">
        <f>482</f>
        <v>482</v>
      </c>
      <c r="G12" s="4"/>
      <c r="H12" s="5">
        <f t="shared" si="2"/>
        <v>482</v>
      </c>
      <c r="I12" s="9" t="str">
        <f t="shared" si="3"/>
        <v/>
      </c>
      <c r="J12" s="4"/>
      <c r="K12" s="4"/>
      <c r="L12" s="5">
        <f t="shared" si="4"/>
        <v>0</v>
      </c>
      <c r="M12" s="9" t="str">
        <f t="shared" si="5"/>
        <v/>
      </c>
      <c r="N12" s="5">
        <f>30.11</f>
        <v>30.11</v>
      </c>
      <c r="O12" s="4"/>
      <c r="P12" s="5">
        <f t="shared" si="6"/>
        <v>30.11</v>
      </c>
      <c r="Q12" s="9" t="str">
        <f t="shared" si="7"/>
        <v/>
      </c>
      <c r="R12" s="5">
        <f>1026.71</f>
        <v>1026.71</v>
      </c>
      <c r="S12" s="4"/>
      <c r="T12" s="5">
        <f t="shared" si="8"/>
        <v>1026.71</v>
      </c>
      <c r="U12" s="9" t="str">
        <f t="shared" si="9"/>
        <v/>
      </c>
      <c r="V12" s="4"/>
      <c r="W12" s="4"/>
      <c r="X12" s="5">
        <f t="shared" si="10"/>
        <v>0</v>
      </c>
      <c r="Y12" s="9" t="str">
        <f t="shared" si="11"/>
        <v/>
      </c>
      <c r="Z12" s="5">
        <f>60.18</f>
        <v>60.18</v>
      </c>
      <c r="AA12" s="4"/>
      <c r="AB12" s="5">
        <f t="shared" si="12"/>
        <v>60.18</v>
      </c>
      <c r="AC12" s="9" t="str">
        <f t="shared" si="13"/>
        <v/>
      </c>
      <c r="AD12" s="4"/>
      <c r="AE12" s="4"/>
      <c r="AF12" s="5">
        <f t="shared" si="14"/>
        <v>0</v>
      </c>
      <c r="AG12" s="9" t="str">
        <f t="shared" si="15"/>
        <v/>
      </c>
      <c r="AH12" s="5">
        <f>150</f>
        <v>150</v>
      </c>
      <c r="AI12" s="4"/>
      <c r="AJ12" s="5">
        <f t="shared" si="16"/>
        <v>150</v>
      </c>
      <c r="AK12" s="9" t="str">
        <f t="shared" si="17"/>
        <v/>
      </c>
      <c r="AL12" s="107"/>
      <c r="AM12" s="107"/>
      <c r="AN12" s="108">
        <f t="shared" si="18"/>
        <v>0</v>
      </c>
      <c r="AO12" s="109" t="str">
        <f t="shared" si="19"/>
        <v/>
      </c>
      <c r="AP12" s="5">
        <f>61.79</f>
        <v>61.79</v>
      </c>
      <c r="AQ12" s="4"/>
      <c r="AR12" s="5">
        <f t="shared" si="20"/>
        <v>61.79</v>
      </c>
      <c r="AS12" s="9" t="str">
        <f t="shared" si="21"/>
        <v/>
      </c>
      <c r="AT12" s="5">
        <f>74.95</f>
        <v>74.95</v>
      </c>
      <c r="AU12" s="4"/>
      <c r="AV12" s="5">
        <f t="shared" si="22"/>
        <v>74.95</v>
      </c>
      <c r="AW12" s="9" t="str">
        <f t="shared" si="23"/>
        <v/>
      </c>
      <c r="AX12" s="5">
        <f t="shared" si="24"/>
        <v>1885.7400000000002</v>
      </c>
      <c r="AY12" s="5">
        <v>0</v>
      </c>
      <c r="AZ12" s="5">
        <f t="shared" si="25"/>
        <v>1885.7400000000002</v>
      </c>
      <c r="BA12" s="9" t="str">
        <f t="shared" si="26"/>
        <v/>
      </c>
    </row>
    <row r="13" spans="1:53" x14ac:dyDescent="0.25">
      <c r="A13" s="3" t="s">
        <v>252</v>
      </c>
      <c r="B13" s="7">
        <f>(((B9)+(B10))+(B11))+(B12)</f>
        <v>4.57</v>
      </c>
      <c r="C13" s="7">
        <f>(((C9)+(C10))+(C11))+(C12)</f>
        <v>0</v>
      </c>
      <c r="D13" s="7">
        <f t="shared" si="0"/>
        <v>4.57</v>
      </c>
      <c r="E13" s="8" t="str">
        <f t="shared" si="1"/>
        <v/>
      </c>
      <c r="F13" s="7">
        <f>(((F9)+(F10))+(F11))+(F12)</f>
        <v>531.98</v>
      </c>
      <c r="G13" s="7">
        <f>(((G9)+(G10))+(G11))+(G12)</f>
        <v>0</v>
      </c>
      <c r="H13" s="7">
        <f t="shared" si="2"/>
        <v>531.98</v>
      </c>
      <c r="I13" s="8" t="str">
        <f t="shared" si="3"/>
        <v/>
      </c>
      <c r="J13" s="7">
        <f>(((J9)+(J10))+(J11))+(J12)</f>
        <v>9.16</v>
      </c>
      <c r="K13" s="7">
        <f>(((K9)+(K10))+(K11))+(K12)</f>
        <v>0</v>
      </c>
      <c r="L13" s="7">
        <f t="shared" si="4"/>
        <v>9.16</v>
      </c>
      <c r="M13" s="8" t="str">
        <f t="shared" si="5"/>
        <v/>
      </c>
      <c r="N13" s="7">
        <f>(((N9)+(N10))+(N11))+(N12)</f>
        <v>30.11</v>
      </c>
      <c r="O13" s="7">
        <f>(((O9)+(O10))+(O11))+(O12)</f>
        <v>0</v>
      </c>
      <c r="P13" s="7">
        <f t="shared" si="6"/>
        <v>30.11</v>
      </c>
      <c r="Q13" s="8" t="str">
        <f t="shared" si="7"/>
        <v/>
      </c>
      <c r="R13" s="7">
        <f>(((R9)+(R10))+(R11))+(R12)</f>
        <v>1031.26</v>
      </c>
      <c r="S13" s="7">
        <f>(((S9)+(S10))+(S11))+(S12)</f>
        <v>0</v>
      </c>
      <c r="T13" s="7">
        <f t="shared" si="8"/>
        <v>1031.26</v>
      </c>
      <c r="U13" s="8" t="str">
        <f t="shared" si="9"/>
        <v/>
      </c>
      <c r="V13" s="7">
        <f>(((V9)+(V10))+(V11))+(V12)</f>
        <v>88.16</v>
      </c>
      <c r="W13" s="7">
        <f>(((W9)+(W10))+(W11))+(W12)</f>
        <v>0</v>
      </c>
      <c r="X13" s="7">
        <f t="shared" si="10"/>
        <v>88.16</v>
      </c>
      <c r="Y13" s="8" t="str">
        <f t="shared" si="11"/>
        <v/>
      </c>
      <c r="Z13" s="7">
        <f>(((Z9)+(Z10))+(Z11))+(Z12)</f>
        <v>265.40999999999997</v>
      </c>
      <c r="AA13" s="7">
        <f>(((AA9)+(AA10))+(AA11))+(AA12)</f>
        <v>0</v>
      </c>
      <c r="AB13" s="7">
        <f t="shared" si="12"/>
        <v>265.40999999999997</v>
      </c>
      <c r="AC13" s="8" t="str">
        <f t="shared" si="13"/>
        <v/>
      </c>
      <c r="AD13" s="7">
        <f>(((AD9)+(AD10))+(AD11))+(AD12)</f>
        <v>10</v>
      </c>
      <c r="AE13" s="7">
        <f>(((AE9)+(AE10))+(AE11))+(AE12)</f>
        <v>0</v>
      </c>
      <c r="AF13" s="7">
        <f t="shared" si="14"/>
        <v>10</v>
      </c>
      <c r="AG13" s="8" t="str">
        <f t="shared" si="15"/>
        <v/>
      </c>
      <c r="AH13" s="7">
        <f>(((AH9)+(AH10))+(AH11))+(AH12)</f>
        <v>168.11</v>
      </c>
      <c r="AI13" s="7">
        <f>(((AI9)+(AI10))+(AI11))+(AI12)</f>
        <v>0</v>
      </c>
      <c r="AJ13" s="7">
        <f t="shared" si="16"/>
        <v>168.11</v>
      </c>
      <c r="AK13" s="8" t="str">
        <f t="shared" si="17"/>
        <v/>
      </c>
      <c r="AL13" s="110">
        <f>(((AL9)+(AL10))+(AL11))+(AL12)</f>
        <v>9.9</v>
      </c>
      <c r="AM13" s="110">
        <f>(((AM9)+(AM10))+(AM11))+(AM12)</f>
        <v>0</v>
      </c>
      <c r="AN13" s="110">
        <f t="shared" si="18"/>
        <v>9.9</v>
      </c>
      <c r="AO13" s="111" t="str">
        <f t="shared" si="19"/>
        <v/>
      </c>
      <c r="AP13" s="7">
        <f>(((AP9)+(AP10))+(AP11))+(AP12)</f>
        <v>71.789999999999992</v>
      </c>
      <c r="AQ13" s="7">
        <f>(((AQ9)+(AQ10))+(AQ11))+(AQ12)</f>
        <v>0</v>
      </c>
      <c r="AR13" s="7">
        <f t="shared" si="20"/>
        <v>71.789999999999992</v>
      </c>
      <c r="AS13" s="8" t="str">
        <f t="shared" si="21"/>
        <v/>
      </c>
      <c r="AT13" s="7">
        <f>(((AT9)+(AT10))+(AT11))+(AT12)</f>
        <v>74.95</v>
      </c>
      <c r="AU13" s="7">
        <f>(((AU9)+(AU10))+(AU11))+(AU12)</f>
        <v>0</v>
      </c>
      <c r="AV13" s="7">
        <f t="shared" si="22"/>
        <v>74.95</v>
      </c>
      <c r="AW13" s="8" t="str">
        <f t="shared" si="23"/>
        <v/>
      </c>
      <c r="AX13" s="7">
        <f t="shared" si="24"/>
        <v>2295.4</v>
      </c>
      <c r="AY13" s="7">
        <v>0</v>
      </c>
      <c r="AZ13" s="7">
        <f t="shared" si="25"/>
        <v>2295.4</v>
      </c>
      <c r="BA13" s="8" t="str">
        <f t="shared" si="26"/>
        <v/>
      </c>
    </row>
    <row r="14" spans="1:53" x14ac:dyDescent="0.25">
      <c r="A14" s="3" t="s">
        <v>251</v>
      </c>
      <c r="B14" s="4"/>
      <c r="C14" s="5">
        <f>6663.33</f>
        <v>6663.33</v>
      </c>
      <c r="D14" s="5">
        <f t="shared" si="0"/>
        <v>-6663.33</v>
      </c>
      <c r="E14" s="9">
        <f t="shared" si="1"/>
        <v>0</v>
      </c>
      <c r="F14" s="5">
        <f>248.93</f>
        <v>248.93</v>
      </c>
      <c r="G14" s="5">
        <f>6663.33</f>
        <v>6663.33</v>
      </c>
      <c r="H14" s="5">
        <f t="shared" si="2"/>
        <v>-6414.4</v>
      </c>
      <c r="I14" s="9">
        <f t="shared" si="3"/>
        <v>3.7358197777987885E-2</v>
      </c>
      <c r="J14" s="4"/>
      <c r="K14" s="5">
        <f>6663.33</f>
        <v>6663.33</v>
      </c>
      <c r="L14" s="5">
        <f t="shared" si="4"/>
        <v>-6663.33</v>
      </c>
      <c r="M14" s="9">
        <f t="shared" si="5"/>
        <v>0</v>
      </c>
      <c r="N14" s="5">
        <f>11129.61</f>
        <v>11129.61</v>
      </c>
      <c r="O14" s="5">
        <f>6663.33</f>
        <v>6663.33</v>
      </c>
      <c r="P14" s="5">
        <f t="shared" si="6"/>
        <v>4466.2800000000007</v>
      </c>
      <c r="Q14" s="9">
        <f t="shared" si="7"/>
        <v>1.6702774738756749</v>
      </c>
      <c r="R14" s="5">
        <f>9706.75</f>
        <v>9706.75</v>
      </c>
      <c r="S14" s="5">
        <f>6663.33</f>
        <v>6663.33</v>
      </c>
      <c r="T14" s="5">
        <f t="shared" si="8"/>
        <v>3043.42</v>
      </c>
      <c r="U14" s="9">
        <f t="shared" si="9"/>
        <v>1.4567415991703847</v>
      </c>
      <c r="V14" s="4"/>
      <c r="W14" s="5">
        <f>10836.33</f>
        <v>10836.33</v>
      </c>
      <c r="X14" s="5">
        <f t="shared" si="10"/>
        <v>-10836.33</v>
      </c>
      <c r="Y14" s="9">
        <f t="shared" si="11"/>
        <v>0</v>
      </c>
      <c r="Z14" s="5">
        <f>8907.99</f>
        <v>8907.99</v>
      </c>
      <c r="AA14" s="5">
        <f>6663.33</f>
        <v>6663.33</v>
      </c>
      <c r="AB14" s="5">
        <f t="shared" si="12"/>
        <v>2244.66</v>
      </c>
      <c r="AC14" s="9">
        <f t="shared" si="13"/>
        <v>1.3368676022349186</v>
      </c>
      <c r="AD14" s="5">
        <f>4730.3</f>
        <v>4730.3</v>
      </c>
      <c r="AE14" s="5">
        <f>6663.33</f>
        <v>6663.33</v>
      </c>
      <c r="AF14" s="5">
        <f t="shared" si="14"/>
        <v>-1933.0299999999997</v>
      </c>
      <c r="AG14" s="9">
        <f t="shared" si="15"/>
        <v>0.70990030510270397</v>
      </c>
      <c r="AH14" s="5">
        <f>7502</f>
        <v>7502</v>
      </c>
      <c r="AI14" s="5">
        <f>6663.33</f>
        <v>6663.33</v>
      </c>
      <c r="AJ14" s="5">
        <f t="shared" si="16"/>
        <v>838.67000000000007</v>
      </c>
      <c r="AK14" s="9">
        <f t="shared" si="17"/>
        <v>1.1258634946790869</v>
      </c>
      <c r="AL14" s="108">
        <f>5772.1</f>
        <v>5772.1</v>
      </c>
      <c r="AM14" s="108">
        <f>6663.33</f>
        <v>6663.33</v>
      </c>
      <c r="AN14" s="108">
        <f t="shared" si="18"/>
        <v>-891.22999999999956</v>
      </c>
      <c r="AO14" s="109">
        <f t="shared" si="19"/>
        <v>0.86624855740298023</v>
      </c>
      <c r="AP14" s="5">
        <f>10348</f>
        <v>10348</v>
      </c>
      <c r="AQ14" s="5">
        <f>6663.33</f>
        <v>6663.33</v>
      </c>
      <c r="AR14" s="5">
        <f t="shared" si="20"/>
        <v>3684.67</v>
      </c>
      <c r="AS14" s="9">
        <f t="shared" si="21"/>
        <v>1.5529772651211933</v>
      </c>
      <c r="AT14" s="5">
        <f>-130</f>
        <v>-130</v>
      </c>
      <c r="AU14" s="5">
        <f>6663.37</f>
        <v>6663.37</v>
      </c>
      <c r="AV14" s="5">
        <f t="shared" si="22"/>
        <v>-6793.37</v>
      </c>
      <c r="AW14" s="9">
        <f t="shared" si="23"/>
        <v>-1.9509647520698985E-2</v>
      </c>
      <c r="AX14" s="5">
        <f t="shared" si="24"/>
        <v>58215.68</v>
      </c>
      <c r="AY14" s="5">
        <v>84133</v>
      </c>
      <c r="AZ14" s="5">
        <f t="shared" si="25"/>
        <v>-25917.32</v>
      </c>
      <c r="BA14" s="9">
        <f t="shared" si="26"/>
        <v>0.69194822483448826</v>
      </c>
    </row>
    <row r="15" spans="1:53" x14ac:dyDescent="0.25">
      <c r="A15" s="3" t="s">
        <v>250</v>
      </c>
      <c r="B15" s="4"/>
      <c r="C15" s="4"/>
      <c r="D15" s="5">
        <f t="shared" si="0"/>
        <v>0</v>
      </c>
      <c r="E15" s="9" t="str">
        <f t="shared" si="1"/>
        <v/>
      </c>
      <c r="F15" s="4"/>
      <c r="G15" s="4"/>
      <c r="H15" s="5">
        <f t="shared" si="2"/>
        <v>0</v>
      </c>
      <c r="I15" s="9" t="str">
        <f t="shared" si="3"/>
        <v/>
      </c>
      <c r="J15" s="4"/>
      <c r="K15" s="4"/>
      <c r="L15" s="5">
        <f t="shared" si="4"/>
        <v>0</v>
      </c>
      <c r="M15" s="9" t="str">
        <f t="shared" si="5"/>
        <v/>
      </c>
      <c r="N15" s="4"/>
      <c r="O15" s="4"/>
      <c r="P15" s="5">
        <f t="shared" si="6"/>
        <v>0</v>
      </c>
      <c r="Q15" s="9" t="str">
        <f t="shared" si="7"/>
        <v/>
      </c>
      <c r="R15" s="4"/>
      <c r="S15" s="4"/>
      <c r="T15" s="5">
        <f t="shared" si="8"/>
        <v>0</v>
      </c>
      <c r="U15" s="9" t="str">
        <f t="shared" si="9"/>
        <v/>
      </c>
      <c r="V15" s="4"/>
      <c r="W15" s="4"/>
      <c r="X15" s="5">
        <f t="shared" si="10"/>
        <v>0</v>
      </c>
      <c r="Y15" s="9" t="str">
        <f t="shared" si="11"/>
        <v/>
      </c>
      <c r="Z15" s="4"/>
      <c r="AA15" s="4"/>
      <c r="AB15" s="5">
        <f t="shared" si="12"/>
        <v>0</v>
      </c>
      <c r="AC15" s="9" t="str">
        <f t="shared" si="13"/>
        <v/>
      </c>
      <c r="AD15" s="4"/>
      <c r="AE15" s="4"/>
      <c r="AF15" s="5">
        <f t="shared" si="14"/>
        <v>0</v>
      </c>
      <c r="AG15" s="9" t="str">
        <f t="shared" si="15"/>
        <v/>
      </c>
      <c r="AH15" s="5">
        <f>-740</f>
        <v>-740</v>
      </c>
      <c r="AI15" s="4"/>
      <c r="AJ15" s="5">
        <f t="shared" si="16"/>
        <v>-740</v>
      </c>
      <c r="AK15" s="9" t="str">
        <f t="shared" si="17"/>
        <v/>
      </c>
      <c r="AL15" s="108">
        <f>3150</f>
        <v>3150</v>
      </c>
      <c r="AM15" s="107"/>
      <c r="AN15" s="108">
        <f t="shared" si="18"/>
        <v>3150</v>
      </c>
      <c r="AO15" s="109" t="str">
        <f t="shared" si="19"/>
        <v/>
      </c>
      <c r="AP15" s="5">
        <f>4390</f>
        <v>4390</v>
      </c>
      <c r="AQ15" s="4"/>
      <c r="AR15" s="5">
        <f t="shared" si="20"/>
        <v>4390</v>
      </c>
      <c r="AS15" s="9" t="str">
        <f t="shared" si="21"/>
        <v/>
      </c>
      <c r="AT15" s="4"/>
      <c r="AU15" s="4"/>
      <c r="AV15" s="5">
        <f t="shared" si="22"/>
        <v>0</v>
      </c>
      <c r="AW15" s="9" t="str">
        <f t="shared" si="23"/>
        <v/>
      </c>
      <c r="AX15" s="5">
        <f t="shared" si="24"/>
        <v>6800</v>
      </c>
      <c r="AY15" s="5">
        <v>0</v>
      </c>
      <c r="AZ15" s="5">
        <f t="shared" si="25"/>
        <v>6800</v>
      </c>
      <c r="BA15" s="9" t="str">
        <f t="shared" si="26"/>
        <v/>
      </c>
    </row>
    <row r="16" spans="1:53" x14ac:dyDescent="0.25">
      <c r="A16" s="3" t="s">
        <v>249</v>
      </c>
      <c r="B16" s="4"/>
      <c r="C16" s="4"/>
      <c r="D16" s="5">
        <f t="shared" si="0"/>
        <v>0</v>
      </c>
      <c r="E16" s="9" t="str">
        <f t="shared" si="1"/>
        <v/>
      </c>
      <c r="F16" s="4"/>
      <c r="G16" s="4"/>
      <c r="H16" s="5">
        <f t="shared" si="2"/>
        <v>0</v>
      </c>
      <c r="I16" s="9" t="str">
        <f t="shared" si="3"/>
        <v/>
      </c>
      <c r="J16" s="4"/>
      <c r="K16" s="4"/>
      <c r="L16" s="5">
        <f t="shared" si="4"/>
        <v>0</v>
      </c>
      <c r="M16" s="9" t="str">
        <f t="shared" si="5"/>
        <v/>
      </c>
      <c r="N16" s="5">
        <f>8118.25</f>
        <v>8118.25</v>
      </c>
      <c r="O16" s="4"/>
      <c r="P16" s="5">
        <f t="shared" si="6"/>
        <v>8118.25</v>
      </c>
      <c r="Q16" s="9" t="str">
        <f t="shared" si="7"/>
        <v/>
      </c>
      <c r="R16" s="5">
        <f>401.81</f>
        <v>401.81</v>
      </c>
      <c r="S16" s="4"/>
      <c r="T16" s="5">
        <f t="shared" si="8"/>
        <v>401.81</v>
      </c>
      <c r="U16" s="9" t="str">
        <f t="shared" si="9"/>
        <v/>
      </c>
      <c r="V16" s="4"/>
      <c r="W16" s="4"/>
      <c r="X16" s="5">
        <f t="shared" si="10"/>
        <v>0</v>
      </c>
      <c r="Y16" s="9" t="str">
        <f t="shared" si="11"/>
        <v/>
      </c>
      <c r="Z16" s="4"/>
      <c r="AA16" s="4"/>
      <c r="AB16" s="5">
        <f t="shared" si="12"/>
        <v>0</v>
      </c>
      <c r="AC16" s="9" t="str">
        <f t="shared" si="13"/>
        <v/>
      </c>
      <c r="AD16" s="4"/>
      <c r="AE16" s="4"/>
      <c r="AF16" s="5">
        <f t="shared" si="14"/>
        <v>0</v>
      </c>
      <c r="AG16" s="9" t="str">
        <f t="shared" si="15"/>
        <v/>
      </c>
      <c r="AH16" s="4"/>
      <c r="AI16" s="4"/>
      <c r="AJ16" s="5">
        <f t="shared" si="16"/>
        <v>0</v>
      </c>
      <c r="AK16" s="9" t="str">
        <f t="shared" si="17"/>
        <v/>
      </c>
      <c r="AL16" s="107"/>
      <c r="AM16" s="107"/>
      <c r="AN16" s="108">
        <f t="shared" si="18"/>
        <v>0</v>
      </c>
      <c r="AO16" s="109" t="str">
        <f t="shared" si="19"/>
        <v/>
      </c>
      <c r="AP16" s="4"/>
      <c r="AQ16" s="4"/>
      <c r="AR16" s="5">
        <f t="shared" si="20"/>
        <v>0</v>
      </c>
      <c r="AS16" s="9" t="str">
        <f t="shared" si="21"/>
        <v/>
      </c>
      <c r="AT16" s="4"/>
      <c r="AU16" s="4"/>
      <c r="AV16" s="5">
        <f t="shared" si="22"/>
        <v>0</v>
      </c>
      <c r="AW16" s="9" t="str">
        <f t="shared" si="23"/>
        <v/>
      </c>
      <c r="AX16" s="5">
        <f t="shared" si="24"/>
        <v>8520.06</v>
      </c>
      <c r="AY16" s="5">
        <v>0</v>
      </c>
      <c r="AZ16" s="5">
        <f t="shared" si="25"/>
        <v>8520.06</v>
      </c>
      <c r="BA16" s="9" t="str">
        <f t="shared" si="26"/>
        <v/>
      </c>
    </row>
    <row r="17" spans="1:53" x14ac:dyDescent="0.25">
      <c r="A17" s="3" t="s">
        <v>248</v>
      </c>
      <c r="B17" s="4"/>
      <c r="C17" s="5">
        <f>4166.66</f>
        <v>4166.66</v>
      </c>
      <c r="D17" s="5">
        <f t="shared" si="0"/>
        <v>-4166.66</v>
      </c>
      <c r="E17" s="9">
        <f t="shared" si="1"/>
        <v>0</v>
      </c>
      <c r="F17" s="4"/>
      <c r="G17" s="5">
        <f>4166.66</f>
        <v>4166.66</v>
      </c>
      <c r="H17" s="5">
        <f t="shared" si="2"/>
        <v>-4166.66</v>
      </c>
      <c r="I17" s="9">
        <f t="shared" si="3"/>
        <v>0</v>
      </c>
      <c r="J17" s="5">
        <f>1152.61</f>
        <v>1152.6099999999999</v>
      </c>
      <c r="K17" s="5">
        <f>4166.66</f>
        <v>4166.66</v>
      </c>
      <c r="L17" s="5">
        <f t="shared" si="4"/>
        <v>-3014.05</v>
      </c>
      <c r="M17" s="9">
        <f t="shared" si="5"/>
        <v>0.27662684260294818</v>
      </c>
      <c r="N17" s="5">
        <f>4173</f>
        <v>4173</v>
      </c>
      <c r="O17" s="5">
        <f>4166.66</f>
        <v>4166.66</v>
      </c>
      <c r="P17" s="5">
        <f t="shared" si="6"/>
        <v>6.3400000000001455</v>
      </c>
      <c r="Q17" s="9">
        <f t="shared" si="7"/>
        <v>1.0015216024345639</v>
      </c>
      <c r="R17" s="4"/>
      <c r="S17" s="5">
        <f>4166.66</f>
        <v>4166.66</v>
      </c>
      <c r="T17" s="5">
        <f t="shared" si="8"/>
        <v>-4166.66</v>
      </c>
      <c r="U17" s="9">
        <f t="shared" si="9"/>
        <v>0</v>
      </c>
      <c r="V17" s="4"/>
      <c r="W17" s="5">
        <f>4166.66</f>
        <v>4166.66</v>
      </c>
      <c r="X17" s="5">
        <f t="shared" si="10"/>
        <v>-4166.66</v>
      </c>
      <c r="Y17" s="9">
        <f t="shared" si="11"/>
        <v>0</v>
      </c>
      <c r="Z17" s="4"/>
      <c r="AA17" s="5">
        <f>4166.66</f>
        <v>4166.66</v>
      </c>
      <c r="AB17" s="5">
        <f t="shared" si="12"/>
        <v>-4166.66</v>
      </c>
      <c r="AC17" s="9">
        <f t="shared" si="13"/>
        <v>0</v>
      </c>
      <c r="AD17" s="4"/>
      <c r="AE17" s="5">
        <f>4166.66</f>
        <v>4166.66</v>
      </c>
      <c r="AF17" s="5">
        <f t="shared" si="14"/>
        <v>-4166.66</v>
      </c>
      <c r="AG17" s="9">
        <f t="shared" si="15"/>
        <v>0</v>
      </c>
      <c r="AH17" s="4"/>
      <c r="AI17" s="5">
        <f>4166.66</f>
        <v>4166.66</v>
      </c>
      <c r="AJ17" s="5">
        <f t="shared" si="16"/>
        <v>-4166.66</v>
      </c>
      <c r="AK17" s="9">
        <f t="shared" si="17"/>
        <v>0</v>
      </c>
      <c r="AL17" s="107"/>
      <c r="AM17" s="108">
        <f>4166.66</f>
        <v>4166.66</v>
      </c>
      <c r="AN17" s="108">
        <f t="shared" si="18"/>
        <v>-4166.66</v>
      </c>
      <c r="AO17" s="109">
        <f t="shared" si="19"/>
        <v>0</v>
      </c>
      <c r="AP17" s="4"/>
      <c r="AQ17" s="5">
        <f>4166.66</f>
        <v>4166.66</v>
      </c>
      <c r="AR17" s="5">
        <f t="shared" si="20"/>
        <v>-4166.66</v>
      </c>
      <c r="AS17" s="9">
        <f t="shared" si="21"/>
        <v>0</v>
      </c>
      <c r="AT17" s="4"/>
      <c r="AU17" s="5">
        <f>4166.74</f>
        <v>4166.74</v>
      </c>
      <c r="AV17" s="5">
        <f t="shared" si="22"/>
        <v>-4166.74</v>
      </c>
      <c r="AW17" s="9">
        <f t="shared" si="23"/>
        <v>0</v>
      </c>
      <c r="AX17" s="5">
        <f t="shared" si="24"/>
        <v>5325.61</v>
      </c>
      <c r="AY17" s="5">
        <v>50000.000000000007</v>
      </c>
      <c r="AZ17" s="5">
        <f t="shared" si="25"/>
        <v>-44674.390000000007</v>
      </c>
      <c r="BA17" s="9">
        <f t="shared" si="26"/>
        <v>0.10651219999999997</v>
      </c>
    </row>
    <row r="18" spans="1:53" x14ac:dyDescent="0.25">
      <c r="A18" s="3" t="s">
        <v>247</v>
      </c>
      <c r="B18" s="5">
        <f>459.2</f>
        <v>459.2</v>
      </c>
      <c r="C18" s="4"/>
      <c r="D18" s="5">
        <f t="shared" si="0"/>
        <v>459.2</v>
      </c>
      <c r="E18" s="9" t="str">
        <f t="shared" si="1"/>
        <v/>
      </c>
      <c r="F18" s="5">
        <f>104.35</f>
        <v>104.35</v>
      </c>
      <c r="G18" s="4"/>
      <c r="H18" s="5">
        <f t="shared" si="2"/>
        <v>104.35</v>
      </c>
      <c r="I18" s="9" t="str">
        <f t="shared" si="3"/>
        <v/>
      </c>
      <c r="J18" s="5">
        <f>300</f>
        <v>300</v>
      </c>
      <c r="K18" s="4"/>
      <c r="L18" s="5">
        <f t="shared" si="4"/>
        <v>300</v>
      </c>
      <c r="M18" s="9" t="str">
        <f t="shared" si="5"/>
        <v/>
      </c>
      <c r="N18" s="5">
        <f>50</f>
        <v>50</v>
      </c>
      <c r="O18" s="4"/>
      <c r="P18" s="5">
        <f t="shared" si="6"/>
        <v>50</v>
      </c>
      <c r="Q18" s="9" t="str">
        <f t="shared" si="7"/>
        <v/>
      </c>
      <c r="R18" s="4"/>
      <c r="S18" s="4"/>
      <c r="T18" s="5">
        <f t="shared" si="8"/>
        <v>0</v>
      </c>
      <c r="U18" s="9" t="str">
        <f t="shared" si="9"/>
        <v/>
      </c>
      <c r="V18" s="4"/>
      <c r="W18" s="4"/>
      <c r="X18" s="5">
        <f t="shared" si="10"/>
        <v>0</v>
      </c>
      <c r="Y18" s="9" t="str">
        <f t="shared" si="11"/>
        <v/>
      </c>
      <c r="Z18" s="4"/>
      <c r="AA18" s="4"/>
      <c r="AB18" s="5">
        <f t="shared" si="12"/>
        <v>0</v>
      </c>
      <c r="AC18" s="9" t="str">
        <f t="shared" si="13"/>
        <v/>
      </c>
      <c r="AD18" s="4"/>
      <c r="AE18" s="4"/>
      <c r="AF18" s="5">
        <f t="shared" si="14"/>
        <v>0</v>
      </c>
      <c r="AG18" s="9" t="str">
        <f t="shared" si="15"/>
        <v/>
      </c>
      <c r="AH18" s="5">
        <f>4781.38</f>
        <v>4781.38</v>
      </c>
      <c r="AI18" s="4"/>
      <c r="AJ18" s="5">
        <f t="shared" si="16"/>
        <v>4781.38</v>
      </c>
      <c r="AK18" s="9" t="str">
        <f t="shared" si="17"/>
        <v/>
      </c>
      <c r="AL18" s="107"/>
      <c r="AM18" s="107"/>
      <c r="AN18" s="108">
        <f t="shared" si="18"/>
        <v>0</v>
      </c>
      <c r="AO18" s="109" t="str">
        <f t="shared" si="19"/>
        <v/>
      </c>
      <c r="AP18" s="5">
        <f>112.47</f>
        <v>112.47</v>
      </c>
      <c r="AQ18" s="4"/>
      <c r="AR18" s="5">
        <f t="shared" si="20"/>
        <v>112.47</v>
      </c>
      <c r="AS18" s="9" t="str">
        <f t="shared" si="21"/>
        <v/>
      </c>
      <c r="AT18" s="4"/>
      <c r="AU18" s="4"/>
      <c r="AV18" s="5">
        <f t="shared" si="22"/>
        <v>0</v>
      </c>
      <c r="AW18" s="9" t="str">
        <f t="shared" si="23"/>
        <v/>
      </c>
      <c r="AX18" s="5">
        <f t="shared" si="24"/>
        <v>5807.4000000000005</v>
      </c>
      <c r="AY18" s="5">
        <v>0</v>
      </c>
      <c r="AZ18" s="5">
        <f t="shared" si="25"/>
        <v>5807.4000000000005</v>
      </c>
      <c r="BA18" s="9" t="str">
        <f t="shared" si="26"/>
        <v/>
      </c>
    </row>
    <row r="19" spans="1:53" x14ac:dyDescent="0.25">
      <c r="A19" s="3" t="s">
        <v>246</v>
      </c>
      <c r="B19" s="4"/>
      <c r="C19" s="5">
        <f>0</f>
        <v>0</v>
      </c>
      <c r="D19" s="5">
        <f t="shared" si="0"/>
        <v>0</v>
      </c>
      <c r="E19" s="9" t="str">
        <f t="shared" si="1"/>
        <v/>
      </c>
      <c r="F19" s="5">
        <f>216.4</f>
        <v>216.4</v>
      </c>
      <c r="G19" s="5">
        <f>0</f>
        <v>0</v>
      </c>
      <c r="H19" s="5">
        <f t="shared" si="2"/>
        <v>216.4</v>
      </c>
      <c r="I19" s="9" t="str">
        <f t="shared" si="3"/>
        <v/>
      </c>
      <c r="J19" s="5">
        <f>20</f>
        <v>20</v>
      </c>
      <c r="K19" s="5">
        <f>0</f>
        <v>0</v>
      </c>
      <c r="L19" s="5">
        <f t="shared" si="4"/>
        <v>20</v>
      </c>
      <c r="M19" s="9" t="str">
        <f t="shared" si="5"/>
        <v/>
      </c>
      <c r="N19" s="5">
        <f>1917.66</f>
        <v>1917.66</v>
      </c>
      <c r="O19" s="5">
        <f>0</f>
        <v>0</v>
      </c>
      <c r="P19" s="5">
        <f t="shared" si="6"/>
        <v>1917.66</v>
      </c>
      <c r="Q19" s="9" t="str">
        <f t="shared" si="7"/>
        <v/>
      </c>
      <c r="R19" s="5">
        <f>2089</f>
        <v>2089</v>
      </c>
      <c r="S19" s="5">
        <f>0</f>
        <v>0</v>
      </c>
      <c r="T19" s="5">
        <f t="shared" si="8"/>
        <v>2089</v>
      </c>
      <c r="U19" s="9" t="str">
        <f t="shared" si="9"/>
        <v/>
      </c>
      <c r="V19" s="4"/>
      <c r="W19" s="5">
        <f>0</f>
        <v>0</v>
      </c>
      <c r="X19" s="5">
        <f t="shared" si="10"/>
        <v>0</v>
      </c>
      <c r="Y19" s="9" t="str">
        <f t="shared" si="11"/>
        <v/>
      </c>
      <c r="Z19" s="4"/>
      <c r="AA19" s="5">
        <f>0</f>
        <v>0</v>
      </c>
      <c r="AB19" s="5">
        <f t="shared" si="12"/>
        <v>0</v>
      </c>
      <c r="AC19" s="9" t="str">
        <f t="shared" si="13"/>
        <v/>
      </c>
      <c r="AD19" s="4"/>
      <c r="AE19" s="5">
        <f>33640</f>
        <v>33640</v>
      </c>
      <c r="AF19" s="5">
        <f t="shared" si="14"/>
        <v>-33640</v>
      </c>
      <c r="AG19" s="9">
        <f t="shared" si="15"/>
        <v>0</v>
      </c>
      <c r="AH19" s="5">
        <f>248.8</f>
        <v>248.8</v>
      </c>
      <c r="AI19" s="5">
        <f>33640</f>
        <v>33640</v>
      </c>
      <c r="AJ19" s="5">
        <f t="shared" si="16"/>
        <v>-33391.199999999997</v>
      </c>
      <c r="AK19" s="9">
        <f t="shared" si="17"/>
        <v>7.3959571938168852E-3</v>
      </c>
      <c r="AL19" s="108">
        <f>1020.88</f>
        <v>1020.88</v>
      </c>
      <c r="AM19" s="108">
        <f>33640</f>
        <v>33640</v>
      </c>
      <c r="AN19" s="108">
        <f t="shared" si="18"/>
        <v>-32619.119999999999</v>
      </c>
      <c r="AO19" s="109">
        <f t="shared" si="19"/>
        <v>3.0347205707491082E-2</v>
      </c>
      <c r="AP19" s="5">
        <f>400</f>
        <v>400</v>
      </c>
      <c r="AQ19" s="5">
        <f>33640</f>
        <v>33640</v>
      </c>
      <c r="AR19" s="5">
        <f t="shared" si="20"/>
        <v>-33240</v>
      </c>
      <c r="AS19" s="9">
        <f t="shared" si="21"/>
        <v>1.1890606420927468E-2</v>
      </c>
      <c r="AT19" s="4"/>
      <c r="AU19" s="5">
        <f>33642</f>
        <v>33642</v>
      </c>
      <c r="AV19" s="5">
        <f t="shared" si="22"/>
        <v>-33642</v>
      </c>
      <c r="AW19" s="9">
        <f t="shared" si="23"/>
        <v>0</v>
      </c>
      <c r="AX19" s="5">
        <f t="shared" si="24"/>
        <v>5912.74</v>
      </c>
      <c r="AY19" s="5">
        <v>168202</v>
      </c>
      <c r="AZ19" s="5">
        <f t="shared" si="25"/>
        <v>-162289.26</v>
      </c>
      <c r="BA19" s="9">
        <f t="shared" si="26"/>
        <v>3.5152614118738185E-2</v>
      </c>
    </row>
    <row r="20" spans="1:53" x14ac:dyDescent="0.25">
      <c r="A20" s="3" t="s">
        <v>245</v>
      </c>
      <c r="B20" s="5">
        <f>24.3</f>
        <v>24.3</v>
      </c>
      <c r="C20" s="4"/>
      <c r="D20" s="5">
        <f t="shared" si="0"/>
        <v>24.3</v>
      </c>
      <c r="E20" s="9" t="str">
        <f t="shared" si="1"/>
        <v/>
      </c>
      <c r="F20" s="5">
        <f>50.24</f>
        <v>50.24</v>
      </c>
      <c r="G20" s="4"/>
      <c r="H20" s="5">
        <f t="shared" si="2"/>
        <v>50.24</v>
      </c>
      <c r="I20" s="9" t="str">
        <f t="shared" si="3"/>
        <v/>
      </c>
      <c r="J20" s="4"/>
      <c r="K20" s="4"/>
      <c r="L20" s="5">
        <f t="shared" si="4"/>
        <v>0</v>
      </c>
      <c r="M20" s="9" t="str">
        <f t="shared" si="5"/>
        <v/>
      </c>
      <c r="N20" s="5">
        <f>23.5</f>
        <v>23.5</v>
      </c>
      <c r="O20" s="4"/>
      <c r="P20" s="5">
        <f t="shared" si="6"/>
        <v>23.5</v>
      </c>
      <c r="Q20" s="9" t="str">
        <f t="shared" si="7"/>
        <v/>
      </c>
      <c r="R20" s="5">
        <f>25.93</f>
        <v>25.93</v>
      </c>
      <c r="S20" s="4"/>
      <c r="T20" s="5">
        <f t="shared" si="8"/>
        <v>25.93</v>
      </c>
      <c r="U20" s="9" t="str">
        <f t="shared" si="9"/>
        <v/>
      </c>
      <c r="V20" s="5">
        <f>25.12</f>
        <v>25.12</v>
      </c>
      <c r="W20" s="4"/>
      <c r="X20" s="5">
        <f t="shared" si="10"/>
        <v>25.12</v>
      </c>
      <c r="Y20" s="9" t="str">
        <f t="shared" si="11"/>
        <v/>
      </c>
      <c r="Z20" s="5">
        <f>25.12</f>
        <v>25.12</v>
      </c>
      <c r="AA20" s="4"/>
      <c r="AB20" s="5">
        <f t="shared" si="12"/>
        <v>25.12</v>
      </c>
      <c r="AC20" s="9" t="str">
        <f t="shared" si="13"/>
        <v/>
      </c>
      <c r="AD20" s="5">
        <f>-109.18</f>
        <v>-109.18</v>
      </c>
      <c r="AE20" s="4"/>
      <c r="AF20" s="5">
        <f t="shared" si="14"/>
        <v>-109.18</v>
      </c>
      <c r="AG20" s="9" t="str">
        <f t="shared" si="15"/>
        <v/>
      </c>
      <c r="AH20" s="5">
        <f>25.12</f>
        <v>25.12</v>
      </c>
      <c r="AI20" s="4"/>
      <c r="AJ20" s="5">
        <f t="shared" si="16"/>
        <v>25.12</v>
      </c>
      <c r="AK20" s="9" t="str">
        <f t="shared" si="17"/>
        <v/>
      </c>
      <c r="AL20" s="107"/>
      <c r="AM20" s="107"/>
      <c r="AN20" s="108">
        <f t="shared" si="18"/>
        <v>0</v>
      </c>
      <c r="AO20" s="109" t="str">
        <f t="shared" si="19"/>
        <v/>
      </c>
      <c r="AP20" s="4"/>
      <c r="AQ20" s="4"/>
      <c r="AR20" s="5">
        <f t="shared" si="20"/>
        <v>0</v>
      </c>
      <c r="AS20" s="9" t="str">
        <f t="shared" si="21"/>
        <v/>
      </c>
      <c r="AT20" s="4"/>
      <c r="AU20" s="4"/>
      <c r="AV20" s="5">
        <f t="shared" si="22"/>
        <v>0</v>
      </c>
      <c r="AW20" s="9" t="str">
        <f t="shared" si="23"/>
        <v/>
      </c>
      <c r="AX20" s="5">
        <f t="shared" si="24"/>
        <v>90.15</v>
      </c>
      <c r="AY20" s="5">
        <v>0</v>
      </c>
      <c r="AZ20" s="5">
        <f t="shared" si="25"/>
        <v>90.15</v>
      </c>
      <c r="BA20" s="9" t="str">
        <f t="shared" si="26"/>
        <v/>
      </c>
    </row>
    <row r="21" spans="1:53" x14ac:dyDescent="0.25">
      <c r="A21" s="3" t="s">
        <v>244</v>
      </c>
      <c r="B21" s="5">
        <f>425700.99</f>
        <v>425700.99</v>
      </c>
      <c r="C21" s="5">
        <f>431700.33</f>
        <v>431700.33</v>
      </c>
      <c r="D21" s="5">
        <f t="shared" si="0"/>
        <v>-5999.3400000000256</v>
      </c>
      <c r="E21" s="9">
        <f t="shared" si="1"/>
        <v>0.98610299880938235</v>
      </c>
      <c r="F21" s="5">
        <f>425700.99</f>
        <v>425700.99</v>
      </c>
      <c r="G21" s="5">
        <f>431700.33</f>
        <v>431700.33</v>
      </c>
      <c r="H21" s="5">
        <f t="shared" si="2"/>
        <v>-5999.3400000000256</v>
      </c>
      <c r="I21" s="9">
        <f t="shared" si="3"/>
        <v>0.98610299880938235</v>
      </c>
      <c r="J21" s="5">
        <f>505417.41</f>
        <v>505417.41</v>
      </c>
      <c r="K21" s="5">
        <f>431700.33</f>
        <v>431700.33</v>
      </c>
      <c r="L21" s="5">
        <f t="shared" si="4"/>
        <v>73717.079999999958</v>
      </c>
      <c r="M21" s="9">
        <f t="shared" si="5"/>
        <v>1.1707598416707254</v>
      </c>
      <c r="N21" s="5">
        <f>505417.41</f>
        <v>505417.41</v>
      </c>
      <c r="O21" s="5">
        <f>431700.33</f>
        <v>431700.33</v>
      </c>
      <c r="P21" s="5">
        <f t="shared" si="6"/>
        <v>73717.079999999958</v>
      </c>
      <c r="Q21" s="9">
        <f t="shared" si="7"/>
        <v>1.1707598416707254</v>
      </c>
      <c r="R21" s="5">
        <f>414770.93</f>
        <v>414770.93</v>
      </c>
      <c r="S21" s="5">
        <f>431700.33</f>
        <v>431700.33</v>
      </c>
      <c r="T21" s="5">
        <f t="shared" si="8"/>
        <v>-16929.400000000023</v>
      </c>
      <c r="U21" s="9">
        <f t="shared" si="9"/>
        <v>0.96078437095473146</v>
      </c>
      <c r="V21" s="5">
        <f>414770.93</f>
        <v>414770.93</v>
      </c>
      <c r="W21" s="5">
        <f>431700.33</f>
        <v>431700.33</v>
      </c>
      <c r="X21" s="5">
        <f t="shared" si="10"/>
        <v>-16929.400000000023</v>
      </c>
      <c r="Y21" s="9">
        <f t="shared" si="11"/>
        <v>0.96078437095473146</v>
      </c>
      <c r="Z21" s="5">
        <f>431747.45</f>
        <v>431747.45</v>
      </c>
      <c r="AA21" s="5">
        <f>431700.33</f>
        <v>431700.33</v>
      </c>
      <c r="AB21" s="5">
        <f t="shared" si="12"/>
        <v>47.119999999995343</v>
      </c>
      <c r="AC21" s="9">
        <f t="shared" si="13"/>
        <v>1.0001091497891605</v>
      </c>
      <c r="AD21" s="5">
        <f>414770.93</f>
        <v>414770.93</v>
      </c>
      <c r="AE21" s="5">
        <f>431700.33</f>
        <v>431700.33</v>
      </c>
      <c r="AF21" s="5">
        <f t="shared" si="14"/>
        <v>-16929.400000000023</v>
      </c>
      <c r="AG21" s="9">
        <f t="shared" si="15"/>
        <v>0.96078437095473146</v>
      </c>
      <c r="AH21" s="5">
        <f>414770.93</f>
        <v>414770.93</v>
      </c>
      <c r="AI21" s="5">
        <f>431700.33</f>
        <v>431700.33</v>
      </c>
      <c r="AJ21" s="5">
        <f t="shared" si="16"/>
        <v>-16929.400000000023</v>
      </c>
      <c r="AK21" s="9">
        <f t="shared" si="17"/>
        <v>0.96078437095473146</v>
      </c>
      <c r="AL21" s="108">
        <f>555856.87</f>
        <v>555856.87</v>
      </c>
      <c r="AM21" s="108">
        <f>431700.33</f>
        <v>431700.33</v>
      </c>
      <c r="AN21" s="108">
        <f t="shared" si="18"/>
        <v>124156.53999999998</v>
      </c>
      <c r="AO21" s="109">
        <f t="shared" si="19"/>
        <v>1.2875988999128167</v>
      </c>
      <c r="AP21" s="5">
        <f>561703.94</f>
        <v>561703.93999999994</v>
      </c>
      <c r="AQ21" s="5">
        <f>431700.33</f>
        <v>431700.33</v>
      </c>
      <c r="AR21" s="5">
        <f t="shared" si="20"/>
        <v>130003.60999999993</v>
      </c>
      <c r="AS21" s="9">
        <f t="shared" si="21"/>
        <v>1.3011431795755168</v>
      </c>
      <c r="AT21" s="4"/>
      <c r="AU21" s="5">
        <f>431700.37</f>
        <v>431700.37</v>
      </c>
      <c r="AV21" s="5">
        <f t="shared" si="22"/>
        <v>-431700.37</v>
      </c>
      <c r="AW21" s="9">
        <f t="shared" si="23"/>
        <v>0</v>
      </c>
      <c r="AX21" s="5">
        <f t="shared" si="24"/>
        <v>5070628.7800000012</v>
      </c>
      <c r="AY21" s="5">
        <v>5180404</v>
      </c>
      <c r="AZ21" s="5">
        <f t="shared" si="25"/>
        <v>-109775.21999999881</v>
      </c>
      <c r="BA21" s="9">
        <f t="shared" si="26"/>
        <v>0.97880952528026799</v>
      </c>
    </row>
    <row r="22" spans="1:53" x14ac:dyDescent="0.25">
      <c r="A22" s="3" t="s">
        <v>243</v>
      </c>
      <c r="B22" s="4"/>
      <c r="C22" s="5">
        <f>129678.42</f>
        <v>129678.42</v>
      </c>
      <c r="D22" s="5">
        <f t="shared" si="0"/>
        <v>-129678.42</v>
      </c>
      <c r="E22" s="9">
        <f t="shared" si="1"/>
        <v>0</v>
      </c>
      <c r="F22" s="4"/>
      <c r="G22" s="5">
        <f>129678.42</f>
        <v>129678.42</v>
      </c>
      <c r="H22" s="5">
        <f t="shared" si="2"/>
        <v>-129678.42</v>
      </c>
      <c r="I22" s="9">
        <f t="shared" si="3"/>
        <v>0</v>
      </c>
      <c r="J22" s="4"/>
      <c r="K22" s="5">
        <f>129678.42</f>
        <v>129678.42</v>
      </c>
      <c r="L22" s="5">
        <f t="shared" si="4"/>
        <v>-129678.42</v>
      </c>
      <c r="M22" s="9">
        <f t="shared" si="5"/>
        <v>0</v>
      </c>
      <c r="N22" s="4"/>
      <c r="O22" s="5">
        <f>129678.42</f>
        <v>129678.42</v>
      </c>
      <c r="P22" s="5">
        <f t="shared" si="6"/>
        <v>-129678.42</v>
      </c>
      <c r="Q22" s="9">
        <f t="shared" si="7"/>
        <v>0</v>
      </c>
      <c r="R22" s="5">
        <f>64840.05</f>
        <v>64840.05</v>
      </c>
      <c r="S22" s="5">
        <f>129678.42</f>
        <v>129678.42</v>
      </c>
      <c r="T22" s="5">
        <f t="shared" si="8"/>
        <v>-64838.369999999995</v>
      </c>
      <c r="U22" s="9">
        <f t="shared" si="9"/>
        <v>0.50000647756195671</v>
      </c>
      <c r="V22" s="4"/>
      <c r="W22" s="5">
        <f>129678.42</f>
        <v>129678.42</v>
      </c>
      <c r="X22" s="5">
        <f t="shared" si="10"/>
        <v>-129678.42</v>
      </c>
      <c r="Y22" s="9">
        <f t="shared" si="11"/>
        <v>0</v>
      </c>
      <c r="Z22" s="5">
        <f>165200</f>
        <v>165200</v>
      </c>
      <c r="AA22" s="5">
        <f>129678.42</f>
        <v>129678.42</v>
      </c>
      <c r="AB22" s="5">
        <f t="shared" si="12"/>
        <v>35521.58</v>
      </c>
      <c r="AC22" s="9">
        <f t="shared" si="13"/>
        <v>1.2739205181556037</v>
      </c>
      <c r="AD22" s="4"/>
      <c r="AE22" s="5">
        <f>129678.42</f>
        <v>129678.42</v>
      </c>
      <c r="AF22" s="5">
        <f t="shared" si="14"/>
        <v>-129678.42</v>
      </c>
      <c r="AG22" s="9">
        <f t="shared" si="15"/>
        <v>0</v>
      </c>
      <c r="AH22" s="5">
        <f>39167</f>
        <v>39167</v>
      </c>
      <c r="AI22" s="5">
        <f>129678.42</f>
        <v>129678.42</v>
      </c>
      <c r="AJ22" s="5">
        <f t="shared" si="16"/>
        <v>-90511.42</v>
      </c>
      <c r="AK22" s="9">
        <f t="shared" si="17"/>
        <v>0.30203174899879254</v>
      </c>
      <c r="AL22" s="107"/>
      <c r="AM22" s="108">
        <f>129678.42</f>
        <v>129678.42</v>
      </c>
      <c r="AN22" s="108">
        <f t="shared" si="18"/>
        <v>-129678.42</v>
      </c>
      <c r="AO22" s="109">
        <f t="shared" si="19"/>
        <v>0</v>
      </c>
      <c r="AP22" s="4"/>
      <c r="AQ22" s="5">
        <f>129678.4</f>
        <v>129678.39999999999</v>
      </c>
      <c r="AR22" s="5">
        <f t="shared" si="20"/>
        <v>-129678.39999999999</v>
      </c>
      <c r="AS22" s="9">
        <f t="shared" si="21"/>
        <v>0</v>
      </c>
      <c r="AT22" s="4"/>
      <c r="AU22" s="5">
        <f>129678.4</f>
        <v>129678.39999999999</v>
      </c>
      <c r="AV22" s="5">
        <f t="shared" si="22"/>
        <v>-129678.39999999999</v>
      </c>
      <c r="AW22" s="9">
        <f t="shared" si="23"/>
        <v>0</v>
      </c>
      <c r="AX22" s="5">
        <f t="shared" si="24"/>
        <v>269207.05</v>
      </c>
      <c r="AY22" s="5">
        <v>1556140.9999999998</v>
      </c>
      <c r="AZ22" s="5">
        <f t="shared" si="25"/>
        <v>-1286933.9499999997</v>
      </c>
      <c r="BA22" s="9">
        <f t="shared" si="26"/>
        <v>0.17299656650650552</v>
      </c>
    </row>
    <row r="23" spans="1:53" x14ac:dyDescent="0.25">
      <c r="A23" s="3" t="s">
        <v>242</v>
      </c>
      <c r="B23" s="7">
        <f>(B21)+(B22)</f>
        <v>425700.99</v>
      </c>
      <c r="C23" s="7">
        <f>(C21)+(C22)</f>
        <v>561378.75</v>
      </c>
      <c r="D23" s="7">
        <f t="shared" si="0"/>
        <v>-135677.76000000001</v>
      </c>
      <c r="E23" s="8">
        <f t="shared" si="1"/>
        <v>0.75831333124027223</v>
      </c>
      <c r="F23" s="7">
        <f>(F21)+(F22)</f>
        <v>425700.99</v>
      </c>
      <c r="G23" s="7">
        <f>(G21)+(G22)</f>
        <v>561378.75</v>
      </c>
      <c r="H23" s="7">
        <f t="shared" si="2"/>
        <v>-135677.76000000001</v>
      </c>
      <c r="I23" s="8">
        <f t="shared" si="3"/>
        <v>0.75831333124027223</v>
      </c>
      <c r="J23" s="7">
        <f>(J21)+(J22)</f>
        <v>505417.41</v>
      </c>
      <c r="K23" s="7">
        <f>(K21)+(K22)</f>
        <v>561378.75</v>
      </c>
      <c r="L23" s="7">
        <f t="shared" si="4"/>
        <v>-55961.340000000026</v>
      </c>
      <c r="M23" s="8">
        <f t="shared" si="5"/>
        <v>0.90031446683722882</v>
      </c>
      <c r="N23" s="7">
        <f>(N21)+(N22)</f>
        <v>505417.41</v>
      </c>
      <c r="O23" s="7">
        <f>(O21)+(O22)</f>
        <v>561378.75</v>
      </c>
      <c r="P23" s="7">
        <f t="shared" si="6"/>
        <v>-55961.340000000026</v>
      </c>
      <c r="Q23" s="8">
        <f t="shared" si="7"/>
        <v>0.90031446683722882</v>
      </c>
      <c r="R23" s="7">
        <f>(R21)+(R22)</f>
        <v>479610.98</v>
      </c>
      <c r="S23" s="7">
        <f>(S21)+(S22)</f>
        <v>561378.75</v>
      </c>
      <c r="T23" s="7">
        <f t="shared" si="8"/>
        <v>-81767.770000000019</v>
      </c>
      <c r="U23" s="8">
        <f t="shared" si="9"/>
        <v>0.85434473606277395</v>
      </c>
      <c r="V23" s="7">
        <f>(V21)+(V22)</f>
        <v>414770.93</v>
      </c>
      <c r="W23" s="7">
        <f>(W21)+(W22)</f>
        <v>561378.75</v>
      </c>
      <c r="X23" s="7">
        <f t="shared" si="10"/>
        <v>-146607.82</v>
      </c>
      <c r="Y23" s="8">
        <f t="shared" si="11"/>
        <v>0.73884330320661407</v>
      </c>
      <c r="Z23" s="7">
        <f>(Z21)+(Z22)</f>
        <v>596947.44999999995</v>
      </c>
      <c r="AA23" s="7">
        <f>(AA21)+(AA22)</f>
        <v>561378.75</v>
      </c>
      <c r="AB23" s="7">
        <f t="shared" si="12"/>
        <v>35568.699999999953</v>
      </c>
      <c r="AC23" s="8">
        <f t="shared" si="13"/>
        <v>1.0633595411297629</v>
      </c>
      <c r="AD23" s="7">
        <f>(AD21)+(AD22)</f>
        <v>414770.93</v>
      </c>
      <c r="AE23" s="7">
        <f>(AE21)+(AE22)</f>
        <v>561378.75</v>
      </c>
      <c r="AF23" s="7">
        <f t="shared" si="14"/>
        <v>-146607.82</v>
      </c>
      <c r="AG23" s="8">
        <f t="shared" si="15"/>
        <v>0.73884330320661407</v>
      </c>
      <c r="AH23" s="7">
        <f>(AH21)+(AH22)</f>
        <v>453937.93</v>
      </c>
      <c r="AI23" s="7">
        <f>(AI21)+(AI22)</f>
        <v>561378.75</v>
      </c>
      <c r="AJ23" s="7">
        <f t="shared" si="16"/>
        <v>-107440.82</v>
      </c>
      <c r="AK23" s="8">
        <f t="shared" si="17"/>
        <v>0.80861259889156833</v>
      </c>
      <c r="AL23" s="110">
        <f>(AL21)+(AL22)</f>
        <v>555856.87</v>
      </c>
      <c r="AM23" s="110">
        <f>(AM21)+(AM22)</f>
        <v>561378.75</v>
      </c>
      <c r="AN23" s="110">
        <f t="shared" si="18"/>
        <v>-5521.8800000000047</v>
      </c>
      <c r="AO23" s="111">
        <f t="shared" si="19"/>
        <v>0.99016371745457055</v>
      </c>
      <c r="AP23" s="7">
        <f>(AP21)+(AP22)</f>
        <v>561703.93999999994</v>
      </c>
      <c r="AQ23" s="7">
        <f>(AQ21)+(AQ22)</f>
        <v>561378.73</v>
      </c>
      <c r="AR23" s="7">
        <f t="shared" si="20"/>
        <v>325.20999999996275</v>
      </c>
      <c r="AS23" s="8">
        <f t="shared" si="21"/>
        <v>1.0005793058814323</v>
      </c>
      <c r="AT23" s="7">
        <f>(AT21)+(AT22)</f>
        <v>0</v>
      </c>
      <c r="AU23" s="7">
        <f>(AU21)+(AU22)</f>
        <v>561378.77</v>
      </c>
      <c r="AV23" s="7">
        <f t="shared" si="22"/>
        <v>-561378.77</v>
      </c>
      <c r="AW23" s="8">
        <f t="shared" si="23"/>
        <v>0</v>
      </c>
      <c r="AX23" s="7">
        <f t="shared" si="24"/>
        <v>5339835.83</v>
      </c>
      <c r="AY23" s="7">
        <v>6736545</v>
      </c>
      <c r="AZ23" s="7">
        <f t="shared" si="25"/>
        <v>-1396709.17</v>
      </c>
      <c r="BA23" s="8">
        <f t="shared" si="26"/>
        <v>0.7926668388617607</v>
      </c>
    </row>
    <row r="24" spans="1:53" x14ac:dyDescent="0.25">
      <c r="A24" s="3" t="s">
        <v>241</v>
      </c>
      <c r="B24" s="7">
        <f>(((((((((B8)+(B13))+(B14))+(B15))+(B16))+(B17))+(B18))+(B19))+(B20))+(B23)</f>
        <v>426189.06</v>
      </c>
      <c r="C24" s="7">
        <f>(((((((((C8)+(C13))+(C14))+(C15))+(C16))+(C17))+(C18))+(C19))+(C20))+(C23)</f>
        <v>572208.74</v>
      </c>
      <c r="D24" s="7">
        <f t="shared" si="0"/>
        <v>-146019.68</v>
      </c>
      <c r="E24" s="8">
        <f t="shared" si="1"/>
        <v>0.74481396421872204</v>
      </c>
      <c r="F24" s="7">
        <f>(((((((((F8)+(F13))+(F14))+(F15))+(F16))+(F17))+(F18))+(F19))+(F20))+(F23)</f>
        <v>426852.89</v>
      </c>
      <c r="G24" s="7">
        <f>(((((((((G8)+(G13))+(G14))+(G15))+(G16))+(G17))+(G18))+(G19))+(G20))+(G23)</f>
        <v>572208.74</v>
      </c>
      <c r="H24" s="7">
        <f t="shared" si="2"/>
        <v>-145355.84999999998</v>
      </c>
      <c r="I24" s="8">
        <f t="shared" si="3"/>
        <v>0.74597408281460365</v>
      </c>
      <c r="J24" s="7">
        <f>(((((((((J8)+(J13))+(J14))+(J15))+(J16))+(J17))+(J18))+(J19))+(J20))+(J23)</f>
        <v>506899.18</v>
      </c>
      <c r="K24" s="7">
        <f>(((((((((K8)+(K13))+(K14))+(K15))+(K16))+(K17))+(K18))+(K19))+(K20))+(K23)</f>
        <v>572208.74</v>
      </c>
      <c r="L24" s="7">
        <f t="shared" si="4"/>
        <v>-65309.56</v>
      </c>
      <c r="M24" s="8">
        <f t="shared" si="5"/>
        <v>0.88586409917471731</v>
      </c>
      <c r="N24" s="7">
        <f>(((((((((N8)+(N13))+(N14))+(N15))+(N16))+(N17))+(N18))+(N19))+(N20))+(N23)</f>
        <v>530859.53999999992</v>
      </c>
      <c r="O24" s="7">
        <f>(((((((((O8)+(O13))+(O14))+(O15))+(O16))+(O17))+(O18))+(O19))+(O20))+(O23)</f>
        <v>572208.74</v>
      </c>
      <c r="P24" s="7">
        <f t="shared" si="6"/>
        <v>-41349.20000000007</v>
      </c>
      <c r="Q24" s="8">
        <f t="shared" si="7"/>
        <v>0.9277375595486359</v>
      </c>
      <c r="R24" s="7">
        <f>(((((((((R8)+(R13))+(R14))+(R15))+(R16))+(R17))+(R18))+(R19))+(R20))+(R23)</f>
        <v>493141.92</v>
      </c>
      <c r="S24" s="7">
        <f>(((((((((S8)+(S13))+(S14))+(S15))+(S16))+(S17))+(S18))+(S19))+(S20))+(S23)</f>
        <v>572208.74</v>
      </c>
      <c r="T24" s="7">
        <f t="shared" si="8"/>
        <v>-79066.820000000007</v>
      </c>
      <c r="U24" s="8">
        <f t="shared" si="9"/>
        <v>0.86182171911599947</v>
      </c>
      <c r="V24" s="7">
        <f>(((((((((V8)+(V13))+(V14))+(V15))+(V16))+(V17))+(V18))+(V19))+(V20))+(V23)</f>
        <v>414884.21</v>
      </c>
      <c r="W24" s="7">
        <f>(((((((((W8)+(W13))+(W14))+(W15))+(W16))+(W17))+(W18))+(W19))+(W20))+(W23)</f>
        <v>576381.74</v>
      </c>
      <c r="X24" s="7">
        <f t="shared" si="10"/>
        <v>-161497.52999999997</v>
      </c>
      <c r="Y24" s="8">
        <f t="shared" si="11"/>
        <v>0.71980803902635782</v>
      </c>
      <c r="Z24" s="7">
        <f>(((((((((Z8)+(Z13))+(Z14))+(Z15))+(Z16))+(Z17))+(Z18))+(Z19))+(Z20))+(Z23)</f>
        <v>606145.97</v>
      </c>
      <c r="AA24" s="7">
        <f>(((((((((AA8)+(AA13))+(AA14))+(AA15))+(AA16))+(AA17))+(AA18))+(AA19))+(AA20))+(AA23)</f>
        <v>572208.74</v>
      </c>
      <c r="AB24" s="7">
        <f t="shared" si="12"/>
        <v>33937.229999999981</v>
      </c>
      <c r="AC24" s="8">
        <f t="shared" si="13"/>
        <v>1.0593091779758554</v>
      </c>
      <c r="AD24" s="7">
        <f>(((((((((AD8)+(AD13))+(AD14))+(AD15))+(AD16))+(AD17))+(AD18))+(AD19))+(AD20))+(AD23)</f>
        <v>419402.05</v>
      </c>
      <c r="AE24" s="7">
        <f>(((((((((AE8)+(AE13))+(AE14))+(AE15))+(AE16))+(AE17))+(AE18))+(AE19))+(AE20))+(AE23)</f>
        <v>605848.74</v>
      </c>
      <c r="AF24" s="7">
        <f t="shared" si="14"/>
        <v>-186446.69</v>
      </c>
      <c r="AG24" s="8">
        <f t="shared" si="15"/>
        <v>0.6922553804436401</v>
      </c>
      <c r="AH24" s="7">
        <f>(((((((((AH8)+(AH13))+(AH14))+(AH15))+(AH16))+(AH17))+(AH18))+(AH19))+(AH20))+(AH23)</f>
        <v>466171.63</v>
      </c>
      <c r="AI24" s="7">
        <f>(((((((((AI8)+(AI13))+(AI14))+(AI15))+(AI16))+(AI17))+(AI18))+(AI19))+(AI20))+(AI23)</f>
        <v>605848.74</v>
      </c>
      <c r="AJ24" s="7">
        <f t="shared" si="16"/>
        <v>-139677.10999999999</v>
      </c>
      <c r="AK24" s="8">
        <f t="shared" si="17"/>
        <v>0.76945217382147235</v>
      </c>
      <c r="AL24" s="110">
        <f>(((((((((AL8)+(AL13))+(AL14))+(AL15))+(AL16))+(AL17))+(AL18))+(AL19))+(AL20))+(AL23)</f>
        <v>565809.75</v>
      </c>
      <c r="AM24" s="110">
        <f>(((((((((AM8)+(AM13))+(AM14))+(AM15))+(AM16))+(AM17))+(AM18))+(AM19))+(AM20))+(AM23)</f>
        <v>605848.74</v>
      </c>
      <c r="AN24" s="110">
        <f t="shared" si="18"/>
        <v>-40038.989999999991</v>
      </c>
      <c r="AO24" s="111">
        <f t="shared" si="19"/>
        <v>0.93391256372011278</v>
      </c>
      <c r="AP24" s="7">
        <f>(((((((((AP8)+(AP13))+(AP14))+(AP15))+(AP16))+(AP17))+(AP18))+(AP19))+(AP20))+(AP23)</f>
        <v>577026.19999999995</v>
      </c>
      <c r="AQ24" s="7">
        <f>(((((((((AQ8)+(AQ13))+(AQ14))+(AQ15))+(AQ16))+(AQ17))+(AQ18))+(AQ19))+(AQ20))+(AQ23)</f>
        <v>605848.72</v>
      </c>
      <c r="AR24" s="7">
        <f t="shared" si="20"/>
        <v>-28822.520000000019</v>
      </c>
      <c r="AS24" s="8">
        <f t="shared" si="21"/>
        <v>0.95242620963200186</v>
      </c>
      <c r="AT24" s="7">
        <f>(((((((((AT8)+(AT13))+(AT14))+(AT15))+(AT16))+(AT17))+(AT18))+(AT19))+(AT20))+(AT23)</f>
        <v>-55.05</v>
      </c>
      <c r="AU24" s="7">
        <f>(((((((((AU8)+(AU13))+(AU14))+(AU15))+(AU16))+(AU17))+(AU18))+(AU19))+(AU20))+(AU23)</f>
        <v>605850.88</v>
      </c>
      <c r="AV24" s="7">
        <f t="shared" si="22"/>
        <v>-605905.93000000005</v>
      </c>
      <c r="AW24" s="8">
        <f t="shared" si="23"/>
        <v>-9.0863943285846176E-5</v>
      </c>
      <c r="AX24" s="7">
        <f t="shared" si="24"/>
        <v>5433327.3499999996</v>
      </c>
      <c r="AY24" s="7">
        <v>7038880.0000000009</v>
      </c>
      <c r="AZ24" s="7">
        <f t="shared" si="25"/>
        <v>-1605552.6500000013</v>
      </c>
      <c r="BA24" s="8">
        <f t="shared" si="26"/>
        <v>0.77190225575659743</v>
      </c>
    </row>
    <row r="25" spans="1:53" x14ac:dyDescent="0.25">
      <c r="A25" s="3" t="s">
        <v>240</v>
      </c>
      <c r="B25" s="4"/>
      <c r="C25" s="4"/>
      <c r="D25" s="5">
        <f t="shared" si="0"/>
        <v>0</v>
      </c>
      <c r="E25" s="9" t="str">
        <f t="shared" si="1"/>
        <v/>
      </c>
      <c r="F25" s="4"/>
      <c r="G25" s="4"/>
      <c r="H25" s="5">
        <f t="shared" si="2"/>
        <v>0</v>
      </c>
      <c r="I25" s="9" t="str">
        <f t="shared" si="3"/>
        <v/>
      </c>
      <c r="J25" s="4"/>
      <c r="K25" s="4"/>
      <c r="L25" s="5">
        <f t="shared" si="4"/>
        <v>0</v>
      </c>
      <c r="M25" s="9" t="str">
        <f t="shared" si="5"/>
        <v/>
      </c>
      <c r="N25" s="4"/>
      <c r="O25" s="4"/>
      <c r="P25" s="5">
        <f t="shared" si="6"/>
        <v>0</v>
      </c>
      <c r="Q25" s="9" t="str">
        <f t="shared" si="7"/>
        <v/>
      </c>
      <c r="R25" s="4"/>
      <c r="S25" s="4"/>
      <c r="T25" s="5">
        <f t="shared" si="8"/>
        <v>0</v>
      </c>
      <c r="U25" s="9" t="str">
        <f t="shared" si="9"/>
        <v/>
      </c>
      <c r="V25" s="4"/>
      <c r="W25" s="4"/>
      <c r="X25" s="5">
        <f t="shared" si="10"/>
        <v>0</v>
      </c>
      <c r="Y25" s="9" t="str">
        <f t="shared" si="11"/>
        <v/>
      </c>
      <c r="Z25" s="4"/>
      <c r="AA25" s="4"/>
      <c r="AB25" s="5">
        <f t="shared" si="12"/>
        <v>0</v>
      </c>
      <c r="AC25" s="9" t="str">
        <f t="shared" si="13"/>
        <v/>
      </c>
      <c r="AD25" s="4"/>
      <c r="AE25" s="4"/>
      <c r="AF25" s="5">
        <f t="shared" si="14"/>
        <v>0</v>
      </c>
      <c r="AG25" s="9" t="str">
        <f t="shared" si="15"/>
        <v/>
      </c>
      <c r="AH25" s="4"/>
      <c r="AI25" s="4"/>
      <c r="AJ25" s="5">
        <f t="shared" si="16"/>
        <v>0</v>
      </c>
      <c r="AK25" s="9" t="str">
        <f t="shared" si="17"/>
        <v/>
      </c>
      <c r="AL25" s="107"/>
      <c r="AM25" s="107"/>
      <c r="AN25" s="108">
        <f t="shared" si="18"/>
        <v>0</v>
      </c>
      <c r="AO25" s="109" t="str">
        <f t="shared" si="19"/>
        <v/>
      </c>
      <c r="AP25" s="4"/>
      <c r="AQ25" s="4"/>
      <c r="AR25" s="5">
        <f t="shared" si="20"/>
        <v>0</v>
      </c>
      <c r="AS25" s="9" t="str">
        <f t="shared" si="21"/>
        <v/>
      </c>
      <c r="AT25" s="4"/>
      <c r="AU25" s="4"/>
      <c r="AV25" s="5">
        <f t="shared" si="22"/>
        <v>0</v>
      </c>
      <c r="AW25" s="9" t="str">
        <f t="shared" si="23"/>
        <v/>
      </c>
      <c r="AX25" s="5">
        <f t="shared" si="24"/>
        <v>0</v>
      </c>
      <c r="AY25" s="5">
        <v>0</v>
      </c>
      <c r="AZ25" s="5">
        <f t="shared" si="25"/>
        <v>0</v>
      </c>
      <c r="BA25" s="9" t="str">
        <f t="shared" si="26"/>
        <v/>
      </c>
    </row>
    <row r="26" spans="1:53" x14ac:dyDescent="0.25">
      <c r="A26" s="3" t="s">
        <v>239</v>
      </c>
      <c r="B26" s="5">
        <f>11024.34</f>
        <v>11024.34</v>
      </c>
      <c r="C26" s="5">
        <f>17904.42</f>
        <v>17904.419999999998</v>
      </c>
      <c r="D26" s="5">
        <f t="shared" si="0"/>
        <v>-6880.0799999999981</v>
      </c>
      <c r="E26" s="9">
        <f t="shared" si="1"/>
        <v>0.61573287489904738</v>
      </c>
      <c r="F26" s="5">
        <f>6283.2</f>
        <v>6283.2</v>
      </c>
      <c r="G26" s="5">
        <f>17904.42</f>
        <v>17904.419999999998</v>
      </c>
      <c r="H26" s="5">
        <f t="shared" si="2"/>
        <v>-11621.219999999998</v>
      </c>
      <c r="I26" s="9">
        <f t="shared" si="3"/>
        <v>0.35093010552701515</v>
      </c>
      <c r="J26" s="5">
        <f>24820.44</f>
        <v>24820.44</v>
      </c>
      <c r="K26" s="5">
        <f>17904.42</f>
        <v>17904.419999999998</v>
      </c>
      <c r="L26" s="5">
        <f t="shared" si="4"/>
        <v>6916.02</v>
      </c>
      <c r="M26" s="9">
        <f t="shared" si="5"/>
        <v>1.3862744506663718</v>
      </c>
      <c r="N26" s="4"/>
      <c r="O26" s="5">
        <f>17904.42</f>
        <v>17904.419999999998</v>
      </c>
      <c r="P26" s="5">
        <f t="shared" si="6"/>
        <v>-17904.419999999998</v>
      </c>
      <c r="Q26" s="9">
        <f t="shared" si="7"/>
        <v>0</v>
      </c>
      <c r="R26" s="4"/>
      <c r="S26" s="5">
        <f>17904.42</f>
        <v>17904.419999999998</v>
      </c>
      <c r="T26" s="5">
        <f t="shared" si="8"/>
        <v>-17904.419999999998</v>
      </c>
      <c r="U26" s="9">
        <f t="shared" si="9"/>
        <v>0</v>
      </c>
      <c r="V26" s="4"/>
      <c r="W26" s="5">
        <f>17904.42</f>
        <v>17904.419999999998</v>
      </c>
      <c r="X26" s="5">
        <f t="shared" si="10"/>
        <v>-17904.419999999998</v>
      </c>
      <c r="Y26" s="9">
        <f t="shared" si="11"/>
        <v>0</v>
      </c>
      <c r="Z26" s="4"/>
      <c r="AA26" s="5">
        <f>17904.42</f>
        <v>17904.419999999998</v>
      </c>
      <c r="AB26" s="5">
        <f t="shared" si="12"/>
        <v>-17904.419999999998</v>
      </c>
      <c r="AC26" s="9">
        <f t="shared" si="13"/>
        <v>0</v>
      </c>
      <c r="AD26" s="4"/>
      <c r="AE26" s="5">
        <f>17904.42</f>
        <v>17904.419999999998</v>
      </c>
      <c r="AF26" s="5">
        <f t="shared" si="14"/>
        <v>-17904.419999999998</v>
      </c>
      <c r="AG26" s="9">
        <f t="shared" si="15"/>
        <v>0</v>
      </c>
      <c r="AH26" s="5">
        <f>13840</f>
        <v>13840</v>
      </c>
      <c r="AI26" s="5">
        <f>17904.42</f>
        <v>17904.419999999998</v>
      </c>
      <c r="AJ26" s="5">
        <f t="shared" si="16"/>
        <v>-4064.4199999999983</v>
      </c>
      <c r="AK26" s="9">
        <f t="shared" si="17"/>
        <v>0.77299348429047132</v>
      </c>
      <c r="AL26" s="108">
        <f>15482.42</f>
        <v>15482.42</v>
      </c>
      <c r="AM26" s="108">
        <f>17904.42</f>
        <v>17904.419999999998</v>
      </c>
      <c r="AN26" s="108">
        <f t="shared" si="18"/>
        <v>-2421.9999999999982</v>
      </c>
      <c r="AO26" s="109">
        <f t="shared" si="19"/>
        <v>0.86472614024916761</v>
      </c>
      <c r="AP26" s="5">
        <f>24979.75</f>
        <v>24979.75</v>
      </c>
      <c r="AQ26" s="5">
        <f>17904.42</f>
        <v>17904.419999999998</v>
      </c>
      <c r="AR26" s="5">
        <f t="shared" si="20"/>
        <v>7075.3300000000017</v>
      </c>
      <c r="AS26" s="9">
        <f t="shared" si="21"/>
        <v>1.3951722535552675</v>
      </c>
      <c r="AT26" s="4"/>
      <c r="AU26" s="5">
        <f>17904.38</f>
        <v>17904.38</v>
      </c>
      <c r="AV26" s="5">
        <f t="shared" si="22"/>
        <v>-17904.38</v>
      </c>
      <c r="AW26" s="9">
        <f t="shared" si="23"/>
        <v>0</v>
      </c>
      <c r="AX26" s="5">
        <f t="shared" si="24"/>
        <v>96430.15</v>
      </c>
      <c r="AY26" s="5">
        <v>214852.99999999994</v>
      </c>
      <c r="AZ26" s="5">
        <f t="shared" si="25"/>
        <v>-118422.84999999995</v>
      </c>
      <c r="BA26" s="9">
        <f t="shared" si="26"/>
        <v>0.4488191926573053</v>
      </c>
    </row>
    <row r="27" spans="1:53" x14ac:dyDescent="0.25">
      <c r="A27" s="3" t="s">
        <v>238</v>
      </c>
      <c r="B27" s="4"/>
      <c r="C27" s="5">
        <f>28340.83</f>
        <v>28340.83</v>
      </c>
      <c r="D27" s="5">
        <f t="shared" si="0"/>
        <v>-28340.83</v>
      </c>
      <c r="E27" s="9">
        <f t="shared" si="1"/>
        <v>0</v>
      </c>
      <c r="F27" s="5">
        <f>14781.44</f>
        <v>14781.44</v>
      </c>
      <c r="G27" s="5">
        <f>28340.83</f>
        <v>28340.83</v>
      </c>
      <c r="H27" s="5">
        <f t="shared" si="2"/>
        <v>-13559.390000000001</v>
      </c>
      <c r="I27" s="9">
        <f t="shared" si="3"/>
        <v>0.52155988374370121</v>
      </c>
      <c r="J27" s="5">
        <f>33393.12</f>
        <v>33393.120000000003</v>
      </c>
      <c r="K27" s="5">
        <f>28340.83</f>
        <v>28340.83</v>
      </c>
      <c r="L27" s="5">
        <f t="shared" si="4"/>
        <v>5052.2900000000009</v>
      </c>
      <c r="M27" s="9">
        <f t="shared" si="5"/>
        <v>1.1782689497802288</v>
      </c>
      <c r="N27" s="5">
        <f>35772.57</f>
        <v>35772.57</v>
      </c>
      <c r="O27" s="5">
        <f>28340.83</f>
        <v>28340.83</v>
      </c>
      <c r="P27" s="5">
        <f t="shared" si="6"/>
        <v>7431.739999999998</v>
      </c>
      <c r="Q27" s="9">
        <f t="shared" si="7"/>
        <v>1.262227323617551</v>
      </c>
      <c r="R27" s="5">
        <f>29893.99</f>
        <v>29893.99</v>
      </c>
      <c r="S27" s="5">
        <f>28340.83</f>
        <v>28340.83</v>
      </c>
      <c r="T27" s="5">
        <f t="shared" si="8"/>
        <v>1553.1599999999999</v>
      </c>
      <c r="U27" s="9">
        <f t="shared" si="9"/>
        <v>1.0548029115590476</v>
      </c>
      <c r="V27" s="5">
        <f>117239.76</f>
        <v>117239.76</v>
      </c>
      <c r="W27" s="5">
        <f>28340.83</f>
        <v>28340.83</v>
      </c>
      <c r="X27" s="5">
        <f t="shared" si="10"/>
        <v>88898.93</v>
      </c>
      <c r="Y27" s="9">
        <f t="shared" si="11"/>
        <v>4.136779339207779</v>
      </c>
      <c r="Z27" s="5">
        <f>36129.43</f>
        <v>36129.43</v>
      </c>
      <c r="AA27" s="5">
        <f>28340.83</f>
        <v>28340.83</v>
      </c>
      <c r="AB27" s="5">
        <f t="shared" si="12"/>
        <v>7788.5999999999985</v>
      </c>
      <c r="AC27" s="9">
        <f t="shared" si="13"/>
        <v>1.2748190508182011</v>
      </c>
      <c r="AD27" s="5">
        <f>85739.33</f>
        <v>85739.33</v>
      </c>
      <c r="AE27" s="5">
        <f>28340.83</f>
        <v>28340.83</v>
      </c>
      <c r="AF27" s="5">
        <f t="shared" si="14"/>
        <v>57398.5</v>
      </c>
      <c r="AG27" s="9">
        <f t="shared" si="15"/>
        <v>3.0252935429202319</v>
      </c>
      <c r="AH27" s="5">
        <f>34103.82</f>
        <v>34103.82</v>
      </c>
      <c r="AI27" s="5">
        <f>28340.83</f>
        <v>28340.83</v>
      </c>
      <c r="AJ27" s="5">
        <f t="shared" si="16"/>
        <v>5762.989999999998</v>
      </c>
      <c r="AK27" s="9">
        <f t="shared" si="17"/>
        <v>1.2033458441407678</v>
      </c>
      <c r="AL27" s="108">
        <f>29319.51</f>
        <v>29319.51</v>
      </c>
      <c r="AM27" s="108">
        <f>28340.82</f>
        <v>28340.82</v>
      </c>
      <c r="AN27" s="108">
        <f t="shared" si="18"/>
        <v>978.68999999999869</v>
      </c>
      <c r="AO27" s="109">
        <f t="shared" si="19"/>
        <v>1.034532875195566</v>
      </c>
      <c r="AP27" s="5">
        <f>54217.16</f>
        <v>54217.16</v>
      </c>
      <c r="AQ27" s="5">
        <f>28340.8</f>
        <v>28340.799999999999</v>
      </c>
      <c r="AR27" s="5">
        <f t="shared" si="20"/>
        <v>25876.360000000004</v>
      </c>
      <c r="AS27" s="9">
        <f t="shared" si="21"/>
        <v>1.9130426805171346</v>
      </c>
      <c r="AT27" s="4"/>
      <c r="AU27" s="5">
        <f>28340.91</f>
        <v>28340.91</v>
      </c>
      <c r="AV27" s="5">
        <f t="shared" si="22"/>
        <v>-28340.91</v>
      </c>
      <c r="AW27" s="9">
        <f t="shared" si="23"/>
        <v>0</v>
      </c>
      <c r="AX27" s="5">
        <f t="shared" si="24"/>
        <v>470590.13</v>
      </c>
      <c r="AY27" s="5">
        <v>340090.00000000006</v>
      </c>
      <c r="AZ27" s="5">
        <f t="shared" si="25"/>
        <v>130500.12999999995</v>
      </c>
      <c r="BA27" s="9">
        <f t="shared" si="26"/>
        <v>1.3837223382045927</v>
      </c>
    </row>
    <row r="28" spans="1:53" x14ac:dyDescent="0.25">
      <c r="A28" s="3" t="s">
        <v>237</v>
      </c>
      <c r="B28" s="7">
        <f>((B25)+(B26))+(B27)</f>
        <v>11024.34</v>
      </c>
      <c r="C28" s="7">
        <f>((C25)+(C26))+(C27)</f>
        <v>46245.25</v>
      </c>
      <c r="D28" s="7">
        <f t="shared" si="0"/>
        <v>-35220.910000000003</v>
      </c>
      <c r="E28" s="8">
        <f t="shared" si="1"/>
        <v>0.23838859126072406</v>
      </c>
      <c r="F28" s="7">
        <f>((F25)+(F26))+(F27)</f>
        <v>21064.639999999999</v>
      </c>
      <c r="G28" s="7">
        <f>((G25)+(G26))+(G27)</f>
        <v>46245.25</v>
      </c>
      <c r="H28" s="7">
        <f t="shared" si="2"/>
        <v>-25180.61</v>
      </c>
      <c r="I28" s="8">
        <f t="shared" si="3"/>
        <v>0.45549845659824523</v>
      </c>
      <c r="J28" s="7">
        <f>((J25)+(J26))+(J27)</f>
        <v>58213.56</v>
      </c>
      <c r="K28" s="7">
        <f>((K25)+(K26))+(K27)</f>
        <v>46245.25</v>
      </c>
      <c r="L28" s="7">
        <f t="shared" si="4"/>
        <v>11968.309999999998</v>
      </c>
      <c r="M28" s="8">
        <f t="shared" si="5"/>
        <v>1.2588008498170082</v>
      </c>
      <c r="N28" s="7">
        <f>((N25)+(N26))+(N27)</f>
        <v>35772.57</v>
      </c>
      <c r="O28" s="7">
        <f>((O25)+(O26))+(O27)</f>
        <v>46245.25</v>
      </c>
      <c r="P28" s="7">
        <f t="shared" si="6"/>
        <v>-10472.68</v>
      </c>
      <c r="Q28" s="8">
        <f t="shared" si="7"/>
        <v>0.77354041766451687</v>
      </c>
      <c r="R28" s="7">
        <f>((R25)+(R26))+(R27)</f>
        <v>29893.99</v>
      </c>
      <c r="S28" s="7">
        <f>((S25)+(S26))+(S27)</f>
        <v>46245.25</v>
      </c>
      <c r="T28" s="7">
        <f t="shared" si="8"/>
        <v>-16351.259999999998</v>
      </c>
      <c r="U28" s="8">
        <f t="shared" si="9"/>
        <v>0.64642292992253259</v>
      </c>
      <c r="V28" s="7">
        <f>((V25)+(V26))+(V27)</f>
        <v>117239.76</v>
      </c>
      <c r="W28" s="7">
        <f>((W25)+(W26))+(W27)</f>
        <v>46245.25</v>
      </c>
      <c r="X28" s="7">
        <f t="shared" si="10"/>
        <v>70994.509999999995</v>
      </c>
      <c r="Y28" s="8">
        <f t="shared" si="11"/>
        <v>2.535174098961515</v>
      </c>
      <c r="Z28" s="7">
        <f>((Z25)+(Z26))+(Z27)</f>
        <v>36129.43</v>
      </c>
      <c r="AA28" s="7">
        <f>((AA25)+(AA26))+(AA27)</f>
        <v>46245.25</v>
      </c>
      <c r="AB28" s="7">
        <f t="shared" si="12"/>
        <v>-10115.82</v>
      </c>
      <c r="AC28" s="8">
        <f t="shared" si="13"/>
        <v>0.78125710208075427</v>
      </c>
      <c r="AD28" s="7">
        <f>((AD25)+(AD26))+(AD27)</f>
        <v>85739.33</v>
      </c>
      <c r="AE28" s="7">
        <f>((AE25)+(AE26))+(AE27)</f>
        <v>46245.25</v>
      </c>
      <c r="AF28" s="7">
        <f t="shared" si="14"/>
        <v>39494.080000000002</v>
      </c>
      <c r="AG28" s="8">
        <f t="shared" si="15"/>
        <v>1.8540137635757186</v>
      </c>
      <c r="AH28" s="7">
        <f>((AH25)+(AH26))+(AH27)</f>
        <v>47943.82</v>
      </c>
      <c r="AI28" s="7">
        <f>((AI25)+(AI26))+(AI27)</f>
        <v>46245.25</v>
      </c>
      <c r="AJ28" s="7">
        <f t="shared" si="16"/>
        <v>1698.5699999999997</v>
      </c>
      <c r="AK28" s="8">
        <f t="shared" si="17"/>
        <v>1.036729610068061</v>
      </c>
      <c r="AL28" s="110">
        <f>((AL25)+(AL26))+(AL27)</f>
        <v>44801.93</v>
      </c>
      <c r="AM28" s="110">
        <f>((AM25)+(AM26))+(AM27)</f>
        <v>46245.24</v>
      </c>
      <c r="AN28" s="110">
        <f t="shared" si="18"/>
        <v>-1443.3099999999977</v>
      </c>
      <c r="AO28" s="111">
        <f t="shared" si="19"/>
        <v>0.96879008520660725</v>
      </c>
      <c r="AP28" s="7">
        <f>((AP25)+(AP26))+(AP27)</f>
        <v>79196.91</v>
      </c>
      <c r="AQ28" s="7">
        <f>((AQ25)+(AQ26))+(AQ27)</f>
        <v>46245.22</v>
      </c>
      <c r="AR28" s="7">
        <f t="shared" si="20"/>
        <v>32951.69</v>
      </c>
      <c r="AS28" s="8">
        <f t="shared" si="21"/>
        <v>1.7125426152151508</v>
      </c>
      <c r="AT28" s="7">
        <f>((AT25)+(AT26))+(AT27)</f>
        <v>0</v>
      </c>
      <c r="AU28" s="7">
        <f>((AU25)+(AU26))+(AU27)</f>
        <v>46245.29</v>
      </c>
      <c r="AV28" s="7">
        <f t="shared" si="22"/>
        <v>-46245.29</v>
      </c>
      <c r="AW28" s="8">
        <f t="shared" si="23"/>
        <v>0</v>
      </c>
      <c r="AX28" s="7">
        <f t="shared" si="24"/>
        <v>567020.28</v>
      </c>
      <c r="AY28" s="7">
        <v>554943</v>
      </c>
      <c r="AZ28" s="7">
        <f t="shared" si="25"/>
        <v>12077.280000000028</v>
      </c>
      <c r="BA28" s="8">
        <f t="shared" si="26"/>
        <v>1.0217630999940535</v>
      </c>
    </row>
    <row r="29" spans="1:53" x14ac:dyDescent="0.25">
      <c r="A29" s="3" t="s">
        <v>236</v>
      </c>
      <c r="B29" s="4"/>
      <c r="C29" s="4"/>
      <c r="D29" s="5">
        <f t="shared" si="0"/>
        <v>0</v>
      </c>
      <c r="E29" s="9" t="str">
        <f t="shared" si="1"/>
        <v/>
      </c>
      <c r="F29" s="4"/>
      <c r="G29" s="4"/>
      <c r="H29" s="5">
        <f t="shared" si="2"/>
        <v>0</v>
      </c>
      <c r="I29" s="9" t="str">
        <f t="shared" si="3"/>
        <v/>
      </c>
      <c r="J29" s="4"/>
      <c r="K29" s="4"/>
      <c r="L29" s="5">
        <f t="shared" si="4"/>
        <v>0</v>
      </c>
      <c r="M29" s="9" t="str">
        <f t="shared" si="5"/>
        <v/>
      </c>
      <c r="N29" s="4"/>
      <c r="O29" s="4"/>
      <c r="P29" s="5">
        <f t="shared" si="6"/>
        <v>0</v>
      </c>
      <c r="Q29" s="9" t="str">
        <f t="shared" si="7"/>
        <v/>
      </c>
      <c r="R29" s="4"/>
      <c r="S29" s="4"/>
      <c r="T29" s="5">
        <f t="shared" si="8"/>
        <v>0</v>
      </c>
      <c r="U29" s="9" t="str">
        <f t="shared" si="9"/>
        <v/>
      </c>
      <c r="V29" s="4"/>
      <c r="W29" s="4"/>
      <c r="X29" s="5">
        <f t="shared" si="10"/>
        <v>0</v>
      </c>
      <c r="Y29" s="9" t="str">
        <f t="shared" si="11"/>
        <v/>
      </c>
      <c r="Z29" s="4"/>
      <c r="AA29" s="4"/>
      <c r="AB29" s="5">
        <f t="shared" si="12"/>
        <v>0</v>
      </c>
      <c r="AC29" s="9" t="str">
        <f t="shared" si="13"/>
        <v/>
      </c>
      <c r="AD29" s="5">
        <f>180</f>
        <v>180</v>
      </c>
      <c r="AE29" s="4"/>
      <c r="AF29" s="5">
        <f t="shared" si="14"/>
        <v>180</v>
      </c>
      <c r="AG29" s="9" t="str">
        <f t="shared" si="15"/>
        <v/>
      </c>
      <c r="AH29" s="4"/>
      <c r="AI29" s="4"/>
      <c r="AJ29" s="5">
        <f t="shared" si="16"/>
        <v>0</v>
      </c>
      <c r="AK29" s="9" t="str">
        <f t="shared" si="17"/>
        <v/>
      </c>
      <c r="AL29" s="107"/>
      <c r="AM29" s="107"/>
      <c r="AN29" s="108">
        <f t="shared" si="18"/>
        <v>0</v>
      </c>
      <c r="AO29" s="109" t="str">
        <f t="shared" si="19"/>
        <v/>
      </c>
      <c r="AP29" s="4"/>
      <c r="AQ29" s="4"/>
      <c r="AR29" s="5">
        <f t="shared" si="20"/>
        <v>0</v>
      </c>
      <c r="AS29" s="9" t="str">
        <f t="shared" si="21"/>
        <v/>
      </c>
      <c r="AT29" s="4"/>
      <c r="AU29" s="4"/>
      <c r="AV29" s="5">
        <f t="shared" si="22"/>
        <v>0</v>
      </c>
      <c r="AW29" s="9" t="str">
        <f t="shared" si="23"/>
        <v/>
      </c>
      <c r="AX29" s="5">
        <f t="shared" si="24"/>
        <v>180</v>
      </c>
      <c r="AY29" s="5">
        <v>0</v>
      </c>
      <c r="AZ29" s="5">
        <f t="shared" si="25"/>
        <v>180</v>
      </c>
      <c r="BA29" s="9" t="str">
        <f t="shared" si="26"/>
        <v/>
      </c>
    </row>
    <row r="30" spans="1:53" x14ac:dyDescent="0.25">
      <c r="A30" s="3" t="s">
        <v>235</v>
      </c>
      <c r="B30" s="7">
        <f>((B24)+(B28))+(B29)</f>
        <v>437213.4</v>
      </c>
      <c r="C30" s="7">
        <f>((C24)+(C28))+(C29)</f>
        <v>618453.99</v>
      </c>
      <c r="D30" s="7">
        <f t="shared" si="0"/>
        <v>-181240.58999999997</v>
      </c>
      <c r="E30" s="8">
        <f t="shared" si="1"/>
        <v>0.70694571798299821</v>
      </c>
      <c r="F30" s="7">
        <f>((F24)+(F28))+(F29)</f>
        <v>447917.53</v>
      </c>
      <c r="G30" s="7">
        <f>((G24)+(G28))+(G29)</f>
        <v>618453.99</v>
      </c>
      <c r="H30" s="7">
        <f t="shared" si="2"/>
        <v>-170536.45999999996</v>
      </c>
      <c r="I30" s="8">
        <f t="shared" si="3"/>
        <v>0.72425360211517109</v>
      </c>
      <c r="J30" s="7">
        <f>((J24)+(J28))+(J29)</f>
        <v>565112.74</v>
      </c>
      <c r="K30" s="7">
        <f>((K24)+(K28))+(K29)</f>
        <v>618453.99</v>
      </c>
      <c r="L30" s="7">
        <f t="shared" si="4"/>
        <v>-53341.25</v>
      </c>
      <c r="M30" s="8">
        <f t="shared" si="5"/>
        <v>0.91375065750647033</v>
      </c>
      <c r="N30" s="7">
        <f>((N24)+(N28))+(N29)</f>
        <v>566632.10999999987</v>
      </c>
      <c r="O30" s="7">
        <f>((O24)+(O28))+(O29)</f>
        <v>618453.99</v>
      </c>
      <c r="P30" s="7">
        <f t="shared" si="6"/>
        <v>-51821.880000000121</v>
      </c>
      <c r="Q30" s="8">
        <f t="shared" si="7"/>
        <v>0.91620738027739113</v>
      </c>
      <c r="R30" s="7">
        <f>((R24)+(R28))+(R29)</f>
        <v>523035.91</v>
      </c>
      <c r="S30" s="7">
        <f>((S24)+(S28))+(S29)</f>
        <v>618453.99</v>
      </c>
      <c r="T30" s="7">
        <f t="shared" si="8"/>
        <v>-95418.080000000016</v>
      </c>
      <c r="U30" s="8">
        <f t="shared" si="9"/>
        <v>0.84571515174475631</v>
      </c>
      <c r="V30" s="7">
        <f>((V24)+(V28))+(V29)</f>
        <v>532123.97</v>
      </c>
      <c r="W30" s="7">
        <f>((W24)+(W28))+(W29)</f>
        <v>622626.99</v>
      </c>
      <c r="X30" s="7">
        <f t="shared" si="10"/>
        <v>-90503.020000000019</v>
      </c>
      <c r="Y30" s="8">
        <f t="shared" si="11"/>
        <v>0.85464327526180639</v>
      </c>
      <c r="Z30" s="7">
        <f>((Z24)+(Z28))+(Z29)</f>
        <v>642275.4</v>
      </c>
      <c r="AA30" s="7">
        <f>((AA24)+(AA28))+(AA29)</f>
        <v>618453.99</v>
      </c>
      <c r="AB30" s="7">
        <f t="shared" si="12"/>
        <v>23821.410000000033</v>
      </c>
      <c r="AC30" s="8">
        <f t="shared" si="13"/>
        <v>1.0385176753407315</v>
      </c>
      <c r="AD30" s="7">
        <f>((AD24)+(AD28))+(AD29)</f>
        <v>505321.38</v>
      </c>
      <c r="AE30" s="7">
        <f>((AE24)+(AE28))+(AE29)</f>
        <v>652093.99</v>
      </c>
      <c r="AF30" s="7">
        <f t="shared" si="14"/>
        <v>-146772.60999999999</v>
      </c>
      <c r="AG30" s="8">
        <f t="shared" si="15"/>
        <v>0.77492108154531525</v>
      </c>
      <c r="AH30" s="7">
        <f>((AH24)+(AH28))+(AH29)</f>
        <v>514115.45</v>
      </c>
      <c r="AI30" s="7">
        <f>((AI24)+(AI28))+(AI29)</f>
        <v>652093.99</v>
      </c>
      <c r="AJ30" s="7">
        <f t="shared" si="16"/>
        <v>-137978.53999999998</v>
      </c>
      <c r="AK30" s="8">
        <f t="shared" si="17"/>
        <v>0.78840697489023015</v>
      </c>
      <c r="AL30" s="110">
        <f>((AL24)+(AL28))+(AL29)</f>
        <v>610611.68000000005</v>
      </c>
      <c r="AM30" s="110">
        <f>((AM24)+(AM28))+(AM29)</f>
        <v>652093.98</v>
      </c>
      <c r="AN30" s="110">
        <f t="shared" si="18"/>
        <v>-41482.29999999993</v>
      </c>
      <c r="AO30" s="111">
        <f t="shared" si="19"/>
        <v>0.93638600988158194</v>
      </c>
      <c r="AP30" s="7">
        <f>((AP24)+(AP28))+(AP29)</f>
        <v>656223.11</v>
      </c>
      <c r="AQ30" s="7">
        <f>((AQ24)+(AQ28))+(AQ29)</f>
        <v>652093.93999999994</v>
      </c>
      <c r="AR30" s="7">
        <f t="shared" si="20"/>
        <v>4129.1700000000419</v>
      </c>
      <c r="AS30" s="8">
        <f t="shared" si="21"/>
        <v>1.0063321704845165</v>
      </c>
      <c r="AT30" s="7">
        <f>((AT24)+(AT28))+(AT29)</f>
        <v>-55.05</v>
      </c>
      <c r="AU30" s="7">
        <f>((AU24)+(AU28))+(AU29)</f>
        <v>652096.17000000004</v>
      </c>
      <c r="AV30" s="7">
        <f t="shared" si="22"/>
        <v>-652151.22000000009</v>
      </c>
      <c r="AW30" s="8">
        <f t="shared" si="23"/>
        <v>-8.442006337807504E-5</v>
      </c>
      <c r="AX30" s="7">
        <f t="shared" si="24"/>
        <v>6000527.6300000008</v>
      </c>
      <c r="AY30" s="7">
        <v>7593823</v>
      </c>
      <c r="AZ30" s="7">
        <f t="shared" si="25"/>
        <v>-1593295.3699999992</v>
      </c>
      <c r="BA30" s="8">
        <f t="shared" si="26"/>
        <v>0.79018534274501795</v>
      </c>
    </row>
    <row r="31" spans="1:53" x14ac:dyDescent="0.25">
      <c r="A31" s="3" t="s">
        <v>234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107"/>
      <c r="AM31" s="107"/>
      <c r="AN31" s="107"/>
      <c r="AO31" s="107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x14ac:dyDescent="0.25">
      <c r="A32" s="3" t="s">
        <v>233</v>
      </c>
      <c r="B32" s="4"/>
      <c r="C32" s="4"/>
      <c r="D32" s="5">
        <f>(B32)-(C32)</f>
        <v>0</v>
      </c>
      <c r="E32" s="9" t="str">
        <f>IF(C32=0,"",(B32)/(C32))</f>
        <v/>
      </c>
      <c r="F32" s="4"/>
      <c r="G32" s="4"/>
      <c r="H32" s="5">
        <f>(F32)-(G32)</f>
        <v>0</v>
      </c>
      <c r="I32" s="9" t="str">
        <f>IF(G32=0,"",(F32)/(G32))</f>
        <v/>
      </c>
      <c r="J32" s="4"/>
      <c r="K32" s="4"/>
      <c r="L32" s="5">
        <f>(J32)-(K32)</f>
        <v>0</v>
      </c>
      <c r="M32" s="9" t="str">
        <f>IF(K32=0,"",(J32)/(K32))</f>
        <v/>
      </c>
      <c r="N32" s="4"/>
      <c r="O32" s="4"/>
      <c r="P32" s="5">
        <f>(N32)-(O32)</f>
        <v>0</v>
      </c>
      <c r="Q32" s="9" t="str">
        <f>IF(O32=0,"",(N32)/(O32))</f>
        <v/>
      </c>
      <c r="R32" s="4"/>
      <c r="S32" s="4"/>
      <c r="T32" s="5">
        <f>(R32)-(S32)</f>
        <v>0</v>
      </c>
      <c r="U32" s="9" t="str">
        <f>IF(S32=0,"",(R32)/(S32))</f>
        <v/>
      </c>
      <c r="V32" s="4"/>
      <c r="W32" s="4"/>
      <c r="X32" s="5">
        <f>(V32)-(W32)</f>
        <v>0</v>
      </c>
      <c r="Y32" s="9" t="str">
        <f>IF(W32=0,"",(V32)/(W32))</f>
        <v/>
      </c>
      <c r="Z32" s="4"/>
      <c r="AA32" s="4"/>
      <c r="AB32" s="5">
        <f>(Z32)-(AA32)</f>
        <v>0</v>
      </c>
      <c r="AC32" s="9" t="str">
        <f>IF(AA32=0,"",(Z32)/(AA32))</f>
        <v/>
      </c>
      <c r="AD32" s="4"/>
      <c r="AE32" s="4"/>
      <c r="AF32" s="5">
        <f>(AD32)-(AE32)</f>
        <v>0</v>
      </c>
      <c r="AG32" s="9" t="str">
        <f>IF(AE32=0,"",(AD32)/(AE32))</f>
        <v/>
      </c>
      <c r="AH32" s="4"/>
      <c r="AI32" s="4"/>
      <c r="AJ32" s="5">
        <f>(AH32)-(AI32)</f>
        <v>0</v>
      </c>
      <c r="AK32" s="9" t="str">
        <f>IF(AI32=0,"",(AH32)/(AI32))</f>
        <v/>
      </c>
      <c r="AL32" s="108">
        <f>7041.96</f>
        <v>7041.96</v>
      </c>
      <c r="AM32" s="107"/>
      <c r="AN32" s="108">
        <f>(AL32)-(AM32)</f>
        <v>7041.96</v>
      </c>
      <c r="AO32" s="109" t="str">
        <f>IF(AM32=0,"",(AL32)/(AM32))</f>
        <v/>
      </c>
      <c r="AP32" s="4"/>
      <c r="AQ32" s="4"/>
      <c r="AR32" s="5">
        <f>(AP32)-(AQ32)</f>
        <v>0</v>
      </c>
      <c r="AS32" s="9" t="str">
        <f>IF(AQ32=0,"",(AP32)/(AQ32))</f>
        <v/>
      </c>
      <c r="AT32" s="4"/>
      <c r="AU32" s="4"/>
      <c r="AV32" s="5">
        <f>(AT32)-(AU32)</f>
        <v>0</v>
      </c>
      <c r="AW32" s="9" t="str">
        <f>IF(AU32=0,"",(AT32)/(AU32))</f>
        <v/>
      </c>
      <c r="AX32" s="5">
        <f>(((((((((((B32)+(F32))+(J32))+(N32))+(R32))+(V32))+(Z32))+(AD32))+(AH32))+(AL32))+(AP32))+(AT32)</f>
        <v>7041.96</v>
      </c>
      <c r="AY32" s="5">
        <v>0</v>
      </c>
      <c r="AZ32" s="5">
        <f>(AX32)-(AY32)</f>
        <v>7041.96</v>
      </c>
      <c r="BA32" s="9" t="str">
        <f>IF(AY32=0,"",(AX32)/(AY32))</f>
        <v/>
      </c>
    </row>
    <row r="33" spans="1:53" x14ac:dyDescent="0.25">
      <c r="A33" s="3" t="s">
        <v>232</v>
      </c>
      <c r="B33" s="7">
        <f>B32</f>
        <v>0</v>
      </c>
      <c r="C33" s="7">
        <f>C32</f>
        <v>0</v>
      </c>
      <c r="D33" s="7">
        <f>(B33)-(C33)</f>
        <v>0</v>
      </c>
      <c r="E33" s="8" t="str">
        <f>IF(C33=0,"",(B33)/(C33))</f>
        <v/>
      </c>
      <c r="F33" s="7">
        <f>F32</f>
        <v>0</v>
      </c>
      <c r="G33" s="7">
        <f>G32</f>
        <v>0</v>
      </c>
      <c r="H33" s="7">
        <f>(F33)-(G33)</f>
        <v>0</v>
      </c>
      <c r="I33" s="8" t="str">
        <f>IF(G33=0,"",(F33)/(G33))</f>
        <v/>
      </c>
      <c r="J33" s="7">
        <f>J32</f>
        <v>0</v>
      </c>
      <c r="K33" s="7">
        <f>K32</f>
        <v>0</v>
      </c>
      <c r="L33" s="7">
        <f>(J33)-(K33)</f>
        <v>0</v>
      </c>
      <c r="M33" s="8" t="str">
        <f>IF(K33=0,"",(J33)/(K33))</f>
        <v/>
      </c>
      <c r="N33" s="7">
        <f>N32</f>
        <v>0</v>
      </c>
      <c r="O33" s="7">
        <f>O32</f>
        <v>0</v>
      </c>
      <c r="P33" s="7">
        <f>(N33)-(O33)</f>
        <v>0</v>
      </c>
      <c r="Q33" s="8" t="str">
        <f>IF(O33=0,"",(N33)/(O33))</f>
        <v/>
      </c>
      <c r="R33" s="7">
        <f>R32</f>
        <v>0</v>
      </c>
      <c r="S33" s="7">
        <f>S32</f>
        <v>0</v>
      </c>
      <c r="T33" s="7">
        <f>(R33)-(S33)</f>
        <v>0</v>
      </c>
      <c r="U33" s="8" t="str">
        <f>IF(S33=0,"",(R33)/(S33))</f>
        <v/>
      </c>
      <c r="V33" s="7">
        <f>V32</f>
        <v>0</v>
      </c>
      <c r="W33" s="7">
        <f>W32</f>
        <v>0</v>
      </c>
      <c r="X33" s="7">
        <f>(V33)-(W33)</f>
        <v>0</v>
      </c>
      <c r="Y33" s="8" t="str">
        <f>IF(W33=0,"",(V33)/(W33))</f>
        <v/>
      </c>
      <c r="Z33" s="7">
        <f>Z32</f>
        <v>0</v>
      </c>
      <c r="AA33" s="7">
        <f>AA32</f>
        <v>0</v>
      </c>
      <c r="AB33" s="7">
        <f>(Z33)-(AA33)</f>
        <v>0</v>
      </c>
      <c r="AC33" s="8" t="str">
        <f>IF(AA33=0,"",(Z33)/(AA33))</f>
        <v/>
      </c>
      <c r="AD33" s="7">
        <f>AD32</f>
        <v>0</v>
      </c>
      <c r="AE33" s="7">
        <f>AE32</f>
        <v>0</v>
      </c>
      <c r="AF33" s="7">
        <f>(AD33)-(AE33)</f>
        <v>0</v>
      </c>
      <c r="AG33" s="8" t="str">
        <f>IF(AE33=0,"",(AD33)/(AE33))</f>
        <v/>
      </c>
      <c r="AH33" s="7">
        <f>AH32</f>
        <v>0</v>
      </c>
      <c r="AI33" s="7">
        <f>AI32</f>
        <v>0</v>
      </c>
      <c r="AJ33" s="7">
        <f>(AH33)-(AI33)</f>
        <v>0</v>
      </c>
      <c r="AK33" s="8" t="str">
        <f>IF(AI33=0,"",(AH33)/(AI33))</f>
        <v/>
      </c>
      <c r="AL33" s="110">
        <f>AL32</f>
        <v>7041.96</v>
      </c>
      <c r="AM33" s="110">
        <f>AM32</f>
        <v>0</v>
      </c>
      <c r="AN33" s="110">
        <f>(AL33)-(AM33)</f>
        <v>7041.96</v>
      </c>
      <c r="AO33" s="111" t="str">
        <f>IF(AM33=0,"",(AL33)/(AM33))</f>
        <v/>
      </c>
      <c r="AP33" s="7">
        <f>AP32</f>
        <v>0</v>
      </c>
      <c r="AQ33" s="7">
        <f>AQ32</f>
        <v>0</v>
      </c>
      <c r="AR33" s="7">
        <f>(AP33)-(AQ33)</f>
        <v>0</v>
      </c>
      <c r="AS33" s="8" t="str">
        <f>IF(AQ33=0,"",(AP33)/(AQ33))</f>
        <v/>
      </c>
      <c r="AT33" s="7">
        <f>AT32</f>
        <v>0</v>
      </c>
      <c r="AU33" s="7">
        <f>AU32</f>
        <v>0</v>
      </c>
      <c r="AV33" s="7">
        <f>(AT33)-(AU33)</f>
        <v>0</v>
      </c>
      <c r="AW33" s="8" t="str">
        <f>IF(AU33=0,"",(AT33)/(AU33))</f>
        <v/>
      </c>
      <c r="AX33" s="7">
        <f>(((((((((((B33)+(F33))+(J33))+(N33))+(R33))+(V33))+(Z33))+(AD33))+(AH33))+(AL33))+(AP33))+(AT33)</f>
        <v>7041.96</v>
      </c>
      <c r="AY33" s="7">
        <v>0</v>
      </c>
      <c r="AZ33" s="7">
        <f>(AX33)-(AY33)</f>
        <v>7041.96</v>
      </c>
      <c r="BA33" s="8" t="str">
        <f>IF(AY33=0,"",(AX33)/(AY33))</f>
        <v/>
      </c>
    </row>
    <row r="34" spans="1:53" x14ac:dyDescent="0.25">
      <c r="A34" s="3" t="s">
        <v>231</v>
      </c>
      <c r="B34" s="7">
        <f>(B30)-(B33)</f>
        <v>437213.4</v>
      </c>
      <c r="C34" s="7">
        <f>(C30)-(C33)</f>
        <v>618453.99</v>
      </c>
      <c r="D34" s="7">
        <f>(B34)-(C34)</f>
        <v>-181240.58999999997</v>
      </c>
      <c r="E34" s="8">
        <f>IF(C34=0,"",(B34)/(C34))</f>
        <v>0.70694571798299821</v>
      </c>
      <c r="F34" s="7">
        <f>(F30)-(F33)</f>
        <v>447917.53</v>
      </c>
      <c r="G34" s="7">
        <f>(G30)-(G33)</f>
        <v>618453.99</v>
      </c>
      <c r="H34" s="7">
        <f>(F34)-(G34)</f>
        <v>-170536.45999999996</v>
      </c>
      <c r="I34" s="8">
        <f>IF(G34=0,"",(F34)/(G34))</f>
        <v>0.72425360211517109</v>
      </c>
      <c r="J34" s="7">
        <f>(J30)-(J33)</f>
        <v>565112.74</v>
      </c>
      <c r="K34" s="7">
        <f>(K30)-(K33)</f>
        <v>618453.99</v>
      </c>
      <c r="L34" s="7">
        <f>(J34)-(K34)</f>
        <v>-53341.25</v>
      </c>
      <c r="M34" s="8">
        <f>IF(K34=0,"",(J34)/(K34))</f>
        <v>0.91375065750647033</v>
      </c>
      <c r="N34" s="7">
        <f>(N30)-(N33)</f>
        <v>566632.10999999987</v>
      </c>
      <c r="O34" s="7">
        <f>(O30)-(O33)</f>
        <v>618453.99</v>
      </c>
      <c r="P34" s="7">
        <f>(N34)-(O34)</f>
        <v>-51821.880000000121</v>
      </c>
      <c r="Q34" s="8">
        <f>IF(O34=0,"",(N34)/(O34))</f>
        <v>0.91620738027739113</v>
      </c>
      <c r="R34" s="7">
        <f>(R30)-(R33)</f>
        <v>523035.91</v>
      </c>
      <c r="S34" s="7">
        <f>(S30)-(S33)</f>
        <v>618453.99</v>
      </c>
      <c r="T34" s="7">
        <f>(R34)-(S34)</f>
        <v>-95418.080000000016</v>
      </c>
      <c r="U34" s="8">
        <f>IF(S34=0,"",(R34)/(S34))</f>
        <v>0.84571515174475631</v>
      </c>
      <c r="V34" s="7">
        <f>(V30)-(V33)</f>
        <v>532123.97</v>
      </c>
      <c r="W34" s="7">
        <f>(W30)-(W33)</f>
        <v>622626.99</v>
      </c>
      <c r="X34" s="7">
        <f>(V34)-(W34)</f>
        <v>-90503.020000000019</v>
      </c>
      <c r="Y34" s="8">
        <f>IF(W34=0,"",(V34)/(W34))</f>
        <v>0.85464327526180639</v>
      </c>
      <c r="Z34" s="7">
        <f>(Z30)-(Z33)</f>
        <v>642275.4</v>
      </c>
      <c r="AA34" s="7">
        <f>(AA30)-(AA33)</f>
        <v>618453.99</v>
      </c>
      <c r="AB34" s="7">
        <f>(Z34)-(AA34)</f>
        <v>23821.410000000033</v>
      </c>
      <c r="AC34" s="8">
        <f>IF(AA34=0,"",(Z34)/(AA34))</f>
        <v>1.0385176753407315</v>
      </c>
      <c r="AD34" s="7">
        <f>(AD30)-(AD33)</f>
        <v>505321.38</v>
      </c>
      <c r="AE34" s="7">
        <f>(AE30)-(AE33)</f>
        <v>652093.99</v>
      </c>
      <c r="AF34" s="7">
        <f>(AD34)-(AE34)</f>
        <v>-146772.60999999999</v>
      </c>
      <c r="AG34" s="8">
        <f>IF(AE34=0,"",(AD34)/(AE34))</f>
        <v>0.77492108154531525</v>
      </c>
      <c r="AH34" s="7">
        <f>(AH30)-(AH33)</f>
        <v>514115.45</v>
      </c>
      <c r="AI34" s="7">
        <f>(AI30)-(AI33)</f>
        <v>652093.99</v>
      </c>
      <c r="AJ34" s="7">
        <f>(AH34)-(AI34)</f>
        <v>-137978.53999999998</v>
      </c>
      <c r="AK34" s="8">
        <f>IF(AI34=0,"",(AH34)/(AI34))</f>
        <v>0.78840697489023015</v>
      </c>
      <c r="AL34" s="110">
        <f>(AL30)-(AL33)</f>
        <v>603569.72000000009</v>
      </c>
      <c r="AM34" s="110">
        <f>(AM30)-(AM33)</f>
        <v>652093.98</v>
      </c>
      <c r="AN34" s="110">
        <f>(AL34)-(AM34)</f>
        <v>-48524.259999999893</v>
      </c>
      <c r="AO34" s="111">
        <f>IF(AM34=0,"",(AL34)/(AM34))</f>
        <v>0.92558701431348911</v>
      </c>
      <c r="AP34" s="7">
        <f>(AP30)-(AP33)</f>
        <v>656223.11</v>
      </c>
      <c r="AQ34" s="7">
        <f>(AQ30)-(AQ33)</f>
        <v>652093.93999999994</v>
      </c>
      <c r="AR34" s="7">
        <f>(AP34)-(AQ34)</f>
        <v>4129.1700000000419</v>
      </c>
      <c r="AS34" s="8">
        <f>IF(AQ34=0,"",(AP34)/(AQ34))</f>
        <v>1.0063321704845165</v>
      </c>
      <c r="AT34" s="7">
        <f>(AT30)-(AT33)</f>
        <v>-55.05</v>
      </c>
      <c r="AU34" s="7">
        <f>(AU30)-(AU33)</f>
        <v>652096.17000000004</v>
      </c>
      <c r="AV34" s="7">
        <f>(AT34)-(AU34)</f>
        <v>-652151.22000000009</v>
      </c>
      <c r="AW34" s="8">
        <f>IF(AU34=0,"",(AT34)/(AU34))</f>
        <v>-8.442006337807504E-5</v>
      </c>
      <c r="AX34" s="7">
        <f>(((((((((((B34)+(F34))+(J34))+(N34))+(R34))+(V34))+(Z34))+(AD34))+(AH34))+(AL34))+(AP34))+(AT34)</f>
        <v>5993485.6700000009</v>
      </c>
      <c r="AY34" s="7">
        <v>7593823</v>
      </c>
      <c r="AZ34" s="7">
        <f>(AX34)-(AY34)</f>
        <v>-1600337.3299999991</v>
      </c>
      <c r="BA34" s="8">
        <f>IF(AY34=0,"",(AX34)/(AY34))</f>
        <v>0.78925801536327633</v>
      </c>
    </row>
    <row r="35" spans="1:53" x14ac:dyDescent="0.25">
      <c r="A35" s="3" t="s">
        <v>230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107"/>
      <c r="AM35" s="107"/>
      <c r="AN35" s="107"/>
      <c r="AO35" s="107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x14ac:dyDescent="0.25">
      <c r="A36" s="3" t="s">
        <v>229</v>
      </c>
      <c r="B36" s="4"/>
      <c r="C36" s="4"/>
      <c r="D36" s="5">
        <f t="shared" ref="D36:D67" si="27">(B36)-(C36)</f>
        <v>0</v>
      </c>
      <c r="E36" s="9" t="str">
        <f t="shared" ref="E36:E67" si="28">IF(C36=0,"",(B36)/(C36))</f>
        <v/>
      </c>
      <c r="F36" s="4"/>
      <c r="G36" s="4"/>
      <c r="H36" s="5">
        <f t="shared" ref="H36:H67" si="29">(F36)-(G36)</f>
        <v>0</v>
      </c>
      <c r="I36" s="9" t="str">
        <f t="shared" ref="I36:I67" si="30">IF(G36=0,"",(F36)/(G36))</f>
        <v/>
      </c>
      <c r="J36" s="4"/>
      <c r="K36" s="4"/>
      <c r="L36" s="5">
        <f t="shared" ref="L36:L67" si="31">(J36)-(K36)</f>
        <v>0</v>
      </c>
      <c r="M36" s="9" t="str">
        <f t="shared" ref="M36:M67" si="32">IF(K36=0,"",(J36)/(K36))</f>
        <v/>
      </c>
      <c r="N36" s="4"/>
      <c r="O36" s="4"/>
      <c r="P36" s="5">
        <f t="shared" ref="P36:P67" si="33">(N36)-(O36)</f>
        <v>0</v>
      </c>
      <c r="Q36" s="9" t="str">
        <f t="shared" ref="Q36:Q67" si="34">IF(O36=0,"",(N36)/(O36))</f>
        <v/>
      </c>
      <c r="R36" s="4"/>
      <c r="S36" s="4"/>
      <c r="T36" s="5">
        <f t="shared" ref="T36:T67" si="35">(R36)-(S36)</f>
        <v>0</v>
      </c>
      <c r="U36" s="9" t="str">
        <f t="shared" ref="U36:U67" si="36">IF(S36=0,"",(R36)/(S36))</f>
        <v/>
      </c>
      <c r="V36" s="4"/>
      <c r="W36" s="4"/>
      <c r="X36" s="5">
        <f t="shared" ref="X36:X67" si="37">(V36)-(W36)</f>
        <v>0</v>
      </c>
      <c r="Y36" s="9" t="str">
        <f t="shared" ref="Y36:Y67" si="38">IF(W36=0,"",(V36)/(W36))</f>
        <v/>
      </c>
      <c r="Z36" s="4"/>
      <c r="AA36" s="4"/>
      <c r="AB36" s="5">
        <f t="shared" ref="AB36:AB67" si="39">(Z36)-(AA36)</f>
        <v>0</v>
      </c>
      <c r="AC36" s="9" t="str">
        <f t="shared" ref="AC36:AC67" si="40">IF(AA36=0,"",(Z36)/(AA36))</f>
        <v/>
      </c>
      <c r="AD36" s="4"/>
      <c r="AE36" s="4"/>
      <c r="AF36" s="5">
        <f t="shared" ref="AF36:AF67" si="41">(AD36)-(AE36)</f>
        <v>0</v>
      </c>
      <c r="AG36" s="9" t="str">
        <f t="shared" ref="AG36:AG67" si="42">IF(AE36=0,"",(AD36)/(AE36))</f>
        <v/>
      </c>
      <c r="AH36" s="4"/>
      <c r="AI36" s="4"/>
      <c r="AJ36" s="5">
        <f t="shared" ref="AJ36:AJ67" si="43">(AH36)-(AI36)</f>
        <v>0</v>
      </c>
      <c r="AK36" s="9" t="str">
        <f t="shared" ref="AK36:AK67" si="44">IF(AI36=0,"",(AH36)/(AI36))</f>
        <v/>
      </c>
      <c r="AL36" s="107"/>
      <c r="AM36" s="107"/>
      <c r="AN36" s="108">
        <f t="shared" ref="AN36:AN67" si="45">(AL36)-(AM36)</f>
        <v>0</v>
      </c>
      <c r="AO36" s="109" t="str">
        <f t="shared" ref="AO36:AO67" si="46">IF(AM36=0,"",(AL36)/(AM36))</f>
        <v/>
      </c>
      <c r="AP36" s="4"/>
      <c r="AQ36" s="4"/>
      <c r="AR36" s="5">
        <f t="shared" ref="AR36:AR67" si="47">(AP36)-(AQ36)</f>
        <v>0</v>
      </c>
      <c r="AS36" s="9" t="str">
        <f t="shared" ref="AS36:AS67" si="48">IF(AQ36=0,"",(AP36)/(AQ36))</f>
        <v/>
      </c>
      <c r="AT36" s="4"/>
      <c r="AU36" s="4"/>
      <c r="AV36" s="5">
        <f t="shared" ref="AV36:AV67" si="49">(AT36)-(AU36)</f>
        <v>0</v>
      </c>
      <c r="AW36" s="9" t="str">
        <f t="shared" ref="AW36:AW67" si="50">IF(AU36=0,"",(AT36)/(AU36))</f>
        <v/>
      </c>
      <c r="AX36" s="5">
        <f t="shared" ref="AX36:AX67" si="51">(((((((((((B36)+(F36))+(J36))+(N36))+(R36))+(V36))+(Z36))+(AD36))+(AH36))+(AL36))+(AP36))+(AT36)</f>
        <v>0</v>
      </c>
      <c r="AY36" s="5">
        <v>0</v>
      </c>
      <c r="AZ36" s="5">
        <f t="shared" ref="AZ36:AZ67" si="52">(AX36)-(AY36)</f>
        <v>0</v>
      </c>
      <c r="BA36" s="9" t="str">
        <f t="shared" ref="BA36:BA67" si="53">IF(AY36=0,"",(AX36)/(AY36))</f>
        <v/>
      </c>
    </row>
    <row r="37" spans="1:53" x14ac:dyDescent="0.25">
      <c r="A37" s="3" t="s">
        <v>228</v>
      </c>
      <c r="B37" s="4"/>
      <c r="C37" s="5">
        <f>43039.42</f>
        <v>43039.42</v>
      </c>
      <c r="D37" s="5">
        <f t="shared" si="27"/>
        <v>-43039.42</v>
      </c>
      <c r="E37" s="9">
        <f t="shared" si="28"/>
        <v>0</v>
      </c>
      <c r="F37" s="4"/>
      <c r="G37" s="5">
        <f>43039.42</f>
        <v>43039.42</v>
      </c>
      <c r="H37" s="5">
        <f t="shared" si="29"/>
        <v>-43039.42</v>
      </c>
      <c r="I37" s="9">
        <f t="shared" si="30"/>
        <v>0</v>
      </c>
      <c r="J37" s="4"/>
      <c r="K37" s="5">
        <f>43039.42</f>
        <v>43039.42</v>
      </c>
      <c r="L37" s="5">
        <f t="shared" si="31"/>
        <v>-43039.42</v>
      </c>
      <c r="M37" s="9">
        <f t="shared" si="32"/>
        <v>0</v>
      </c>
      <c r="N37" s="4"/>
      <c r="O37" s="5">
        <f>43039.42</f>
        <v>43039.42</v>
      </c>
      <c r="P37" s="5">
        <f t="shared" si="33"/>
        <v>-43039.42</v>
      </c>
      <c r="Q37" s="9">
        <f t="shared" si="34"/>
        <v>0</v>
      </c>
      <c r="R37" s="4"/>
      <c r="S37" s="5">
        <f>43039.42</f>
        <v>43039.42</v>
      </c>
      <c r="T37" s="5">
        <f t="shared" si="35"/>
        <v>-43039.42</v>
      </c>
      <c r="U37" s="9">
        <f t="shared" si="36"/>
        <v>0</v>
      </c>
      <c r="V37" s="4"/>
      <c r="W37" s="5">
        <f>43039.42</f>
        <v>43039.42</v>
      </c>
      <c r="X37" s="5">
        <f t="shared" si="37"/>
        <v>-43039.42</v>
      </c>
      <c r="Y37" s="9">
        <f t="shared" si="38"/>
        <v>0</v>
      </c>
      <c r="Z37" s="4"/>
      <c r="AA37" s="5">
        <f>43039.42</f>
        <v>43039.42</v>
      </c>
      <c r="AB37" s="5">
        <f t="shared" si="39"/>
        <v>-43039.42</v>
      </c>
      <c r="AC37" s="9">
        <f t="shared" si="40"/>
        <v>0</v>
      </c>
      <c r="AD37" s="4"/>
      <c r="AE37" s="5">
        <f>43039.42</f>
        <v>43039.42</v>
      </c>
      <c r="AF37" s="5">
        <f t="shared" si="41"/>
        <v>-43039.42</v>
      </c>
      <c r="AG37" s="9">
        <f t="shared" si="42"/>
        <v>0</v>
      </c>
      <c r="AH37" s="4"/>
      <c r="AI37" s="5">
        <f>43039.42</f>
        <v>43039.42</v>
      </c>
      <c r="AJ37" s="5">
        <f t="shared" si="43"/>
        <v>-43039.42</v>
      </c>
      <c r="AK37" s="9">
        <f t="shared" si="44"/>
        <v>0</v>
      </c>
      <c r="AL37" s="107"/>
      <c r="AM37" s="108">
        <f>43039.42</f>
        <v>43039.42</v>
      </c>
      <c r="AN37" s="108">
        <f t="shared" si="45"/>
        <v>-43039.42</v>
      </c>
      <c r="AO37" s="109">
        <f t="shared" si="46"/>
        <v>0</v>
      </c>
      <c r="AP37" s="4"/>
      <c r="AQ37" s="5">
        <f>43039.4</f>
        <v>43039.4</v>
      </c>
      <c r="AR37" s="5">
        <f t="shared" si="47"/>
        <v>-43039.4</v>
      </c>
      <c r="AS37" s="9">
        <f t="shared" si="48"/>
        <v>0</v>
      </c>
      <c r="AT37" s="4"/>
      <c r="AU37" s="5">
        <f>43039.4</f>
        <v>43039.4</v>
      </c>
      <c r="AV37" s="5">
        <f t="shared" si="49"/>
        <v>-43039.4</v>
      </c>
      <c r="AW37" s="9">
        <f t="shared" si="50"/>
        <v>0</v>
      </c>
      <c r="AX37" s="5">
        <f t="shared" si="51"/>
        <v>0</v>
      </c>
      <c r="AY37" s="5">
        <v>516472.99999999994</v>
      </c>
      <c r="AZ37" s="5">
        <f t="shared" si="52"/>
        <v>-516472.99999999994</v>
      </c>
      <c r="BA37" s="9">
        <f t="shared" si="53"/>
        <v>0</v>
      </c>
    </row>
    <row r="38" spans="1:53" x14ac:dyDescent="0.25">
      <c r="A38" s="3" t="s">
        <v>227</v>
      </c>
      <c r="B38" s="5">
        <f>283540.28</f>
        <v>283540.28000000003</v>
      </c>
      <c r="C38" s="5">
        <f>193692.92</f>
        <v>193692.92</v>
      </c>
      <c r="D38" s="5">
        <f t="shared" si="27"/>
        <v>89847.360000000015</v>
      </c>
      <c r="E38" s="9">
        <f t="shared" si="28"/>
        <v>1.4638649672894601</v>
      </c>
      <c r="F38" s="5">
        <f>167247.79</f>
        <v>167247.79</v>
      </c>
      <c r="G38" s="5">
        <f>193692.92</f>
        <v>193692.92</v>
      </c>
      <c r="H38" s="5">
        <f t="shared" si="29"/>
        <v>-26445.130000000005</v>
      </c>
      <c r="I38" s="9">
        <f t="shared" si="30"/>
        <v>0.86346878347437783</v>
      </c>
      <c r="J38" s="5">
        <f>193560.6</f>
        <v>193560.6</v>
      </c>
      <c r="K38" s="5">
        <f>193692.92</f>
        <v>193692.92</v>
      </c>
      <c r="L38" s="5">
        <f t="shared" si="31"/>
        <v>-132.32000000000698</v>
      </c>
      <c r="M38" s="9">
        <f t="shared" si="32"/>
        <v>0.99931685680612381</v>
      </c>
      <c r="N38" s="5">
        <f>191190.92</f>
        <v>191190.92</v>
      </c>
      <c r="O38" s="5">
        <f>193692.92</f>
        <v>193692.92</v>
      </c>
      <c r="P38" s="5">
        <f t="shared" si="33"/>
        <v>-2502</v>
      </c>
      <c r="Q38" s="9">
        <f t="shared" si="34"/>
        <v>0.98708264607709972</v>
      </c>
      <c r="R38" s="5">
        <f>182418.18</f>
        <v>182418.18</v>
      </c>
      <c r="S38" s="5">
        <f>193692.92</f>
        <v>193692.92</v>
      </c>
      <c r="T38" s="5">
        <f t="shared" si="35"/>
        <v>-11274.74000000002</v>
      </c>
      <c r="U38" s="9">
        <f t="shared" si="36"/>
        <v>0.94179064469677043</v>
      </c>
      <c r="V38" s="5">
        <f>182989.36</f>
        <v>182989.36</v>
      </c>
      <c r="W38" s="5">
        <f>193692.92</f>
        <v>193692.92</v>
      </c>
      <c r="X38" s="5">
        <f t="shared" si="37"/>
        <v>-10703.560000000027</v>
      </c>
      <c r="Y38" s="9">
        <f t="shared" si="38"/>
        <v>0.94473953926658738</v>
      </c>
      <c r="Z38" s="5">
        <f>302417.63</f>
        <v>302417.63</v>
      </c>
      <c r="AA38" s="5">
        <f>195729.33</f>
        <v>195729.33</v>
      </c>
      <c r="AB38" s="5">
        <f t="shared" si="39"/>
        <v>106688.30000000002</v>
      </c>
      <c r="AC38" s="9">
        <f t="shared" si="40"/>
        <v>1.5450808011246961</v>
      </c>
      <c r="AD38" s="5">
        <f>167948.48</f>
        <v>167948.48</v>
      </c>
      <c r="AE38" s="5">
        <f>195729.33</f>
        <v>195729.33</v>
      </c>
      <c r="AF38" s="5">
        <f t="shared" si="41"/>
        <v>-27780.849999999977</v>
      </c>
      <c r="AG38" s="9">
        <f t="shared" si="42"/>
        <v>0.85806496144446021</v>
      </c>
      <c r="AH38" s="5">
        <f>218968.86</f>
        <v>218968.86</v>
      </c>
      <c r="AI38" s="5">
        <f>195729.33</f>
        <v>195729.33</v>
      </c>
      <c r="AJ38" s="5">
        <f t="shared" si="43"/>
        <v>23239.53</v>
      </c>
      <c r="AK38" s="9">
        <f t="shared" si="44"/>
        <v>1.118732997246759</v>
      </c>
      <c r="AL38" s="108">
        <f>165204.58</f>
        <v>165204.57999999999</v>
      </c>
      <c r="AM38" s="108">
        <f>195729.33</f>
        <v>195729.33</v>
      </c>
      <c r="AN38" s="108">
        <f t="shared" si="45"/>
        <v>-30524.75</v>
      </c>
      <c r="AO38" s="109">
        <f t="shared" si="46"/>
        <v>0.84404611204667179</v>
      </c>
      <c r="AP38" s="4"/>
      <c r="AQ38" s="5">
        <f>195729.33</f>
        <v>195729.33</v>
      </c>
      <c r="AR38" s="5">
        <f t="shared" si="47"/>
        <v>-195729.33</v>
      </c>
      <c r="AS38" s="9">
        <f t="shared" si="48"/>
        <v>0</v>
      </c>
      <c r="AT38" s="4"/>
      <c r="AU38" s="5">
        <f>195734.83</f>
        <v>195734.83</v>
      </c>
      <c r="AV38" s="5">
        <f t="shared" si="49"/>
        <v>-195734.83</v>
      </c>
      <c r="AW38" s="9">
        <f t="shared" si="50"/>
        <v>0</v>
      </c>
      <c r="AX38" s="5">
        <f t="shared" si="51"/>
        <v>2055486.6799999997</v>
      </c>
      <c r="AY38" s="5">
        <v>2336539.0000000005</v>
      </c>
      <c r="AZ38" s="5">
        <f t="shared" si="52"/>
        <v>-281052.32000000076</v>
      </c>
      <c r="BA38" s="9">
        <f t="shared" si="53"/>
        <v>0.87971426113580786</v>
      </c>
    </row>
    <row r="39" spans="1:53" x14ac:dyDescent="0.25">
      <c r="A39" s="3" t="s">
        <v>226</v>
      </c>
      <c r="B39" s="4"/>
      <c r="C39" s="5">
        <f>15435.5</f>
        <v>15435.5</v>
      </c>
      <c r="D39" s="5">
        <f t="shared" si="27"/>
        <v>-15435.5</v>
      </c>
      <c r="E39" s="9">
        <f t="shared" si="28"/>
        <v>0</v>
      </c>
      <c r="F39" s="4"/>
      <c r="G39" s="5">
        <f>15435.5</f>
        <v>15435.5</v>
      </c>
      <c r="H39" s="5">
        <f t="shared" si="29"/>
        <v>-15435.5</v>
      </c>
      <c r="I39" s="9">
        <f t="shared" si="30"/>
        <v>0</v>
      </c>
      <c r="J39" s="4"/>
      <c r="K39" s="5">
        <f>15435.5</f>
        <v>15435.5</v>
      </c>
      <c r="L39" s="5">
        <f t="shared" si="31"/>
        <v>-15435.5</v>
      </c>
      <c r="M39" s="9">
        <f t="shared" si="32"/>
        <v>0</v>
      </c>
      <c r="N39" s="4"/>
      <c r="O39" s="5">
        <f>15435.5</f>
        <v>15435.5</v>
      </c>
      <c r="P39" s="5">
        <f t="shared" si="33"/>
        <v>-15435.5</v>
      </c>
      <c r="Q39" s="9">
        <f t="shared" si="34"/>
        <v>0</v>
      </c>
      <c r="R39" s="4"/>
      <c r="S39" s="5">
        <f>15435.5</f>
        <v>15435.5</v>
      </c>
      <c r="T39" s="5">
        <f t="shared" si="35"/>
        <v>-15435.5</v>
      </c>
      <c r="U39" s="9">
        <f t="shared" si="36"/>
        <v>0</v>
      </c>
      <c r="V39" s="4"/>
      <c r="W39" s="5">
        <f>15435.5</f>
        <v>15435.5</v>
      </c>
      <c r="X39" s="5">
        <f t="shared" si="37"/>
        <v>-15435.5</v>
      </c>
      <c r="Y39" s="9">
        <f t="shared" si="38"/>
        <v>0</v>
      </c>
      <c r="Z39" s="5">
        <f>12616.27</f>
        <v>12616.27</v>
      </c>
      <c r="AA39" s="5">
        <f>15435.5</f>
        <v>15435.5</v>
      </c>
      <c r="AB39" s="5">
        <f t="shared" si="39"/>
        <v>-2819.2299999999996</v>
      </c>
      <c r="AC39" s="9">
        <f t="shared" si="40"/>
        <v>0.81735415114508769</v>
      </c>
      <c r="AD39" s="5">
        <f>6931.36</f>
        <v>6931.36</v>
      </c>
      <c r="AE39" s="5">
        <f>15435.5</f>
        <v>15435.5</v>
      </c>
      <c r="AF39" s="5">
        <f t="shared" si="41"/>
        <v>-8504.14</v>
      </c>
      <c r="AG39" s="9">
        <f t="shared" si="42"/>
        <v>0.44905315668426676</v>
      </c>
      <c r="AH39" s="5">
        <f>8014.2</f>
        <v>8014.2</v>
      </c>
      <c r="AI39" s="5">
        <f>15435.5</f>
        <v>15435.5</v>
      </c>
      <c r="AJ39" s="5">
        <f t="shared" si="43"/>
        <v>-7421.3</v>
      </c>
      <c r="AK39" s="9">
        <f t="shared" si="44"/>
        <v>0.51920572705775647</v>
      </c>
      <c r="AL39" s="108">
        <f>6927.02</f>
        <v>6927.02</v>
      </c>
      <c r="AM39" s="108">
        <f>15435.5</f>
        <v>15435.5</v>
      </c>
      <c r="AN39" s="108">
        <f t="shared" si="45"/>
        <v>-8508.48</v>
      </c>
      <c r="AO39" s="109">
        <f t="shared" si="46"/>
        <v>0.44877198665414147</v>
      </c>
      <c r="AP39" s="5">
        <f>1100</f>
        <v>1100</v>
      </c>
      <c r="AQ39" s="5">
        <f>15435.5</f>
        <v>15435.5</v>
      </c>
      <c r="AR39" s="5">
        <f t="shared" si="47"/>
        <v>-14335.5</v>
      </c>
      <c r="AS39" s="9">
        <f t="shared" si="48"/>
        <v>7.1264293349745711E-2</v>
      </c>
      <c r="AT39" s="4"/>
      <c r="AU39" s="5">
        <f>15435.5</f>
        <v>15435.5</v>
      </c>
      <c r="AV39" s="5">
        <f t="shared" si="49"/>
        <v>-15435.5</v>
      </c>
      <c r="AW39" s="9">
        <f t="shared" si="50"/>
        <v>0</v>
      </c>
      <c r="AX39" s="5">
        <f t="shared" si="51"/>
        <v>35588.850000000006</v>
      </c>
      <c r="AY39" s="5">
        <v>185226</v>
      </c>
      <c r="AZ39" s="5">
        <f t="shared" si="52"/>
        <v>-149637.15</v>
      </c>
      <c r="BA39" s="9">
        <f t="shared" si="53"/>
        <v>0.19213744290758319</v>
      </c>
    </row>
    <row r="40" spans="1:53" x14ac:dyDescent="0.25">
      <c r="A40" s="3" t="s">
        <v>225</v>
      </c>
      <c r="B40" s="4"/>
      <c r="C40" s="5">
        <f>9372.16</f>
        <v>9372.16</v>
      </c>
      <c r="D40" s="5">
        <f t="shared" si="27"/>
        <v>-9372.16</v>
      </c>
      <c r="E40" s="9">
        <f t="shared" si="28"/>
        <v>0</v>
      </c>
      <c r="F40" s="5">
        <f>8205</f>
        <v>8205</v>
      </c>
      <c r="G40" s="5">
        <f>9372.16</f>
        <v>9372.16</v>
      </c>
      <c r="H40" s="5">
        <f t="shared" si="29"/>
        <v>-1167.1599999999999</v>
      </c>
      <c r="I40" s="9">
        <f t="shared" si="30"/>
        <v>0.87546520759355373</v>
      </c>
      <c r="J40" s="5">
        <f>21430</f>
        <v>21430</v>
      </c>
      <c r="K40" s="5">
        <f>9372.16</f>
        <v>9372.16</v>
      </c>
      <c r="L40" s="5">
        <f t="shared" si="31"/>
        <v>12057.84</v>
      </c>
      <c r="M40" s="9">
        <f t="shared" si="32"/>
        <v>2.2865593417099155</v>
      </c>
      <c r="N40" s="5">
        <f>12920</f>
        <v>12920</v>
      </c>
      <c r="O40" s="5">
        <f>9372.16</f>
        <v>9372.16</v>
      </c>
      <c r="P40" s="5">
        <f t="shared" si="33"/>
        <v>3547.84</v>
      </c>
      <c r="Q40" s="9">
        <f t="shared" si="34"/>
        <v>1.378550942365474</v>
      </c>
      <c r="R40" s="5">
        <f>5150</f>
        <v>5150</v>
      </c>
      <c r="S40" s="5">
        <f>9372.16</f>
        <v>9372.16</v>
      </c>
      <c r="T40" s="5">
        <f t="shared" si="35"/>
        <v>-4222.16</v>
      </c>
      <c r="U40" s="9">
        <f t="shared" si="36"/>
        <v>0.54949979513794045</v>
      </c>
      <c r="V40" s="5">
        <f>13640</f>
        <v>13640</v>
      </c>
      <c r="W40" s="5">
        <f>9372.16</f>
        <v>9372.16</v>
      </c>
      <c r="X40" s="5">
        <f t="shared" si="37"/>
        <v>4267.84</v>
      </c>
      <c r="Y40" s="9">
        <f t="shared" si="38"/>
        <v>1.4553742146954385</v>
      </c>
      <c r="Z40" s="5">
        <f>18018.5</f>
        <v>18018.5</v>
      </c>
      <c r="AA40" s="5">
        <f>9372.16</f>
        <v>9372.16</v>
      </c>
      <c r="AB40" s="5">
        <f t="shared" si="39"/>
        <v>8646.34</v>
      </c>
      <c r="AC40" s="9">
        <f t="shared" si="40"/>
        <v>1.922555739552035</v>
      </c>
      <c r="AD40" s="5">
        <f>16415</f>
        <v>16415</v>
      </c>
      <c r="AE40" s="5">
        <f>9372.16</f>
        <v>9372.16</v>
      </c>
      <c r="AF40" s="5">
        <f t="shared" si="41"/>
        <v>7042.84</v>
      </c>
      <c r="AG40" s="9">
        <f t="shared" si="42"/>
        <v>1.7514639101338432</v>
      </c>
      <c r="AH40" s="5">
        <f>16815</f>
        <v>16815</v>
      </c>
      <c r="AI40" s="5">
        <f>9372.16</f>
        <v>9372.16</v>
      </c>
      <c r="AJ40" s="5">
        <f t="shared" si="43"/>
        <v>7442.84</v>
      </c>
      <c r="AK40" s="9">
        <f t="shared" si="44"/>
        <v>1.7941435058727124</v>
      </c>
      <c r="AL40" s="108">
        <f>10585</f>
        <v>10585</v>
      </c>
      <c r="AM40" s="108">
        <f>9372.16</f>
        <v>9372.16</v>
      </c>
      <c r="AN40" s="108">
        <f t="shared" si="45"/>
        <v>1212.8400000000001</v>
      </c>
      <c r="AO40" s="109">
        <f t="shared" si="46"/>
        <v>1.1294088022398252</v>
      </c>
      <c r="AP40" s="5">
        <f>3915</f>
        <v>3915</v>
      </c>
      <c r="AQ40" s="5">
        <f>9372.26</f>
        <v>9372.26</v>
      </c>
      <c r="AR40" s="5">
        <f t="shared" si="47"/>
        <v>-5457.26</v>
      </c>
      <c r="AS40" s="9">
        <f t="shared" si="48"/>
        <v>0.4177220862417389</v>
      </c>
      <c r="AT40" s="5">
        <f>4205</f>
        <v>4205</v>
      </c>
      <c r="AU40" s="5">
        <f>9372.14</f>
        <v>9372.14</v>
      </c>
      <c r="AV40" s="5">
        <f t="shared" si="49"/>
        <v>-5167.1399999999994</v>
      </c>
      <c r="AW40" s="9">
        <f t="shared" si="50"/>
        <v>0.44867020765801624</v>
      </c>
      <c r="AX40" s="5">
        <f t="shared" si="51"/>
        <v>131298.5</v>
      </c>
      <c r="AY40" s="5">
        <v>112466.00000000001</v>
      </c>
      <c r="AZ40" s="5">
        <f t="shared" si="52"/>
        <v>18832.499999999985</v>
      </c>
      <c r="BA40" s="9">
        <f t="shared" si="53"/>
        <v>1.1674506072946489</v>
      </c>
    </row>
    <row r="41" spans="1:53" x14ac:dyDescent="0.25">
      <c r="A41" s="3" t="s">
        <v>224</v>
      </c>
      <c r="B41" s="4"/>
      <c r="C41" s="5">
        <f>3085.66</f>
        <v>3085.66</v>
      </c>
      <c r="D41" s="5">
        <f t="shared" si="27"/>
        <v>-3085.66</v>
      </c>
      <c r="E41" s="9">
        <f t="shared" si="28"/>
        <v>0</v>
      </c>
      <c r="F41" s="4"/>
      <c r="G41" s="5">
        <f>3085.66</f>
        <v>3085.66</v>
      </c>
      <c r="H41" s="5">
        <f t="shared" si="29"/>
        <v>-3085.66</v>
      </c>
      <c r="I41" s="9">
        <f t="shared" si="30"/>
        <v>0</v>
      </c>
      <c r="J41" s="4"/>
      <c r="K41" s="5">
        <f>3085.66</f>
        <v>3085.66</v>
      </c>
      <c r="L41" s="5">
        <f t="shared" si="31"/>
        <v>-3085.66</v>
      </c>
      <c r="M41" s="9">
        <f t="shared" si="32"/>
        <v>0</v>
      </c>
      <c r="N41" s="4"/>
      <c r="O41" s="5">
        <f>3085.66</f>
        <v>3085.66</v>
      </c>
      <c r="P41" s="5">
        <f t="shared" si="33"/>
        <v>-3085.66</v>
      </c>
      <c r="Q41" s="9">
        <f t="shared" si="34"/>
        <v>0</v>
      </c>
      <c r="R41" s="5">
        <f>4920</f>
        <v>4920</v>
      </c>
      <c r="S41" s="5">
        <f>3085.66</f>
        <v>3085.66</v>
      </c>
      <c r="T41" s="5">
        <f t="shared" si="35"/>
        <v>1834.3400000000001</v>
      </c>
      <c r="U41" s="9">
        <f t="shared" si="36"/>
        <v>1.5944724953494553</v>
      </c>
      <c r="V41" s="5">
        <f>3495</f>
        <v>3495</v>
      </c>
      <c r="W41" s="5">
        <f>3085.66</f>
        <v>3085.66</v>
      </c>
      <c r="X41" s="5">
        <f t="shared" si="37"/>
        <v>409.34000000000015</v>
      </c>
      <c r="Y41" s="9">
        <f t="shared" si="38"/>
        <v>1.1326588152939727</v>
      </c>
      <c r="Z41" s="5">
        <f>4080.68</f>
        <v>4080.68</v>
      </c>
      <c r="AA41" s="5">
        <f>3085.66</f>
        <v>3085.66</v>
      </c>
      <c r="AB41" s="5">
        <f t="shared" si="39"/>
        <v>995.02</v>
      </c>
      <c r="AC41" s="9">
        <f t="shared" si="40"/>
        <v>1.3224658581956534</v>
      </c>
      <c r="AD41" s="5">
        <f>4977.5</f>
        <v>4977.5</v>
      </c>
      <c r="AE41" s="5">
        <f>3085.66</f>
        <v>3085.66</v>
      </c>
      <c r="AF41" s="5">
        <f t="shared" si="41"/>
        <v>1891.8400000000001</v>
      </c>
      <c r="AG41" s="9">
        <f t="shared" si="42"/>
        <v>1.6131070824394134</v>
      </c>
      <c r="AH41" s="5">
        <f>6240</f>
        <v>6240</v>
      </c>
      <c r="AI41" s="5">
        <f>3085.66</f>
        <v>3085.66</v>
      </c>
      <c r="AJ41" s="5">
        <f t="shared" si="43"/>
        <v>3154.34</v>
      </c>
      <c r="AK41" s="9">
        <f t="shared" si="44"/>
        <v>2.0222577989797972</v>
      </c>
      <c r="AL41" s="108">
        <f>4427.4</f>
        <v>4427.3999999999996</v>
      </c>
      <c r="AM41" s="108">
        <f>3085.66</f>
        <v>3085.66</v>
      </c>
      <c r="AN41" s="108">
        <f t="shared" si="45"/>
        <v>1341.7399999999998</v>
      </c>
      <c r="AO41" s="109">
        <f t="shared" si="46"/>
        <v>1.4348307979492232</v>
      </c>
      <c r="AP41" s="4"/>
      <c r="AQ41" s="5">
        <f>3085.66</f>
        <v>3085.66</v>
      </c>
      <c r="AR41" s="5">
        <f t="shared" si="47"/>
        <v>-3085.66</v>
      </c>
      <c r="AS41" s="9">
        <f t="shared" si="48"/>
        <v>0</v>
      </c>
      <c r="AT41" s="4"/>
      <c r="AU41" s="5">
        <f>3085.74</f>
        <v>3085.74</v>
      </c>
      <c r="AV41" s="5">
        <f t="shared" si="49"/>
        <v>-3085.74</v>
      </c>
      <c r="AW41" s="9">
        <f t="shared" si="50"/>
        <v>0</v>
      </c>
      <c r="AX41" s="5">
        <f t="shared" si="51"/>
        <v>28140.58</v>
      </c>
      <c r="AY41" s="5">
        <v>37027.999999999993</v>
      </c>
      <c r="AZ41" s="5">
        <f t="shared" si="52"/>
        <v>-8887.419999999991</v>
      </c>
      <c r="BA41" s="9">
        <f t="shared" si="53"/>
        <v>0.75998109538727465</v>
      </c>
    </row>
    <row r="42" spans="1:53" x14ac:dyDescent="0.25">
      <c r="A42" s="3" t="s">
        <v>223</v>
      </c>
      <c r="B42" s="5">
        <f>12200</f>
        <v>12200</v>
      </c>
      <c r="C42" s="5">
        <f>11405.92</f>
        <v>11405.92</v>
      </c>
      <c r="D42" s="5">
        <f t="shared" si="27"/>
        <v>794.07999999999993</v>
      </c>
      <c r="E42" s="9">
        <f t="shared" si="28"/>
        <v>1.0696199868138652</v>
      </c>
      <c r="F42" s="5">
        <f>10800</f>
        <v>10800</v>
      </c>
      <c r="G42" s="5">
        <f>11405.92</f>
        <v>11405.92</v>
      </c>
      <c r="H42" s="5">
        <f t="shared" si="29"/>
        <v>-605.92000000000007</v>
      </c>
      <c r="I42" s="9">
        <f t="shared" si="30"/>
        <v>0.94687670963850346</v>
      </c>
      <c r="J42" s="5">
        <f>10800</f>
        <v>10800</v>
      </c>
      <c r="K42" s="5">
        <f>11405.92</f>
        <v>11405.92</v>
      </c>
      <c r="L42" s="5">
        <f t="shared" si="31"/>
        <v>-605.92000000000007</v>
      </c>
      <c r="M42" s="9">
        <f t="shared" si="32"/>
        <v>0.94687670963850346</v>
      </c>
      <c r="N42" s="5">
        <f>10800</f>
        <v>10800</v>
      </c>
      <c r="O42" s="5">
        <f>11405.92</f>
        <v>11405.92</v>
      </c>
      <c r="P42" s="5">
        <f t="shared" si="33"/>
        <v>-605.92000000000007</v>
      </c>
      <c r="Q42" s="9">
        <f t="shared" si="34"/>
        <v>0.94687670963850346</v>
      </c>
      <c r="R42" s="5">
        <f>10800</f>
        <v>10800</v>
      </c>
      <c r="S42" s="5">
        <f>11405.92</f>
        <v>11405.92</v>
      </c>
      <c r="T42" s="5">
        <f t="shared" si="35"/>
        <v>-605.92000000000007</v>
      </c>
      <c r="U42" s="9">
        <f t="shared" si="36"/>
        <v>0.94687670963850346</v>
      </c>
      <c r="V42" s="5">
        <f>10800</f>
        <v>10800</v>
      </c>
      <c r="W42" s="5">
        <f>11405.92</f>
        <v>11405.92</v>
      </c>
      <c r="X42" s="5">
        <f t="shared" si="37"/>
        <v>-605.92000000000007</v>
      </c>
      <c r="Y42" s="9">
        <f t="shared" si="38"/>
        <v>0.94687670963850346</v>
      </c>
      <c r="Z42" s="5">
        <f>24101.43</f>
        <v>24101.43</v>
      </c>
      <c r="AA42" s="5">
        <f>11405.92</f>
        <v>11405.92</v>
      </c>
      <c r="AB42" s="5">
        <f t="shared" si="39"/>
        <v>12695.51</v>
      </c>
      <c r="AC42" s="9">
        <f t="shared" si="40"/>
        <v>2.1130632162946963</v>
      </c>
      <c r="AD42" s="5">
        <f>16321.5</f>
        <v>16321.5</v>
      </c>
      <c r="AE42" s="5">
        <f>11405.92</f>
        <v>11405.92</v>
      </c>
      <c r="AF42" s="5">
        <f t="shared" si="41"/>
        <v>4915.58</v>
      </c>
      <c r="AG42" s="9">
        <f t="shared" si="42"/>
        <v>1.4309674274411883</v>
      </c>
      <c r="AH42" s="5">
        <f>24210.88</f>
        <v>24210.880000000001</v>
      </c>
      <c r="AI42" s="5">
        <f>11405.92</f>
        <v>11405.92</v>
      </c>
      <c r="AJ42" s="5">
        <f t="shared" si="43"/>
        <v>12804.960000000001</v>
      </c>
      <c r="AK42" s="9">
        <f t="shared" si="44"/>
        <v>2.1226591103567269</v>
      </c>
      <c r="AL42" s="108">
        <f>16321.5</f>
        <v>16321.5</v>
      </c>
      <c r="AM42" s="108">
        <f>11405.92</f>
        <v>11405.92</v>
      </c>
      <c r="AN42" s="108">
        <f t="shared" si="45"/>
        <v>4915.58</v>
      </c>
      <c r="AO42" s="109">
        <f t="shared" si="46"/>
        <v>1.4309674274411883</v>
      </c>
      <c r="AP42" s="4"/>
      <c r="AQ42" s="5">
        <f>11405.9</f>
        <v>11405.9</v>
      </c>
      <c r="AR42" s="5">
        <f t="shared" si="47"/>
        <v>-11405.9</v>
      </c>
      <c r="AS42" s="9">
        <f t="shared" si="48"/>
        <v>0</v>
      </c>
      <c r="AT42" s="4"/>
      <c r="AU42" s="5">
        <f>11405.9</f>
        <v>11405.9</v>
      </c>
      <c r="AV42" s="5">
        <f t="shared" si="49"/>
        <v>-11405.9</v>
      </c>
      <c r="AW42" s="9">
        <f t="shared" si="50"/>
        <v>0</v>
      </c>
      <c r="AX42" s="5">
        <f t="shared" si="51"/>
        <v>147155.31</v>
      </c>
      <c r="AY42" s="5">
        <v>136871</v>
      </c>
      <c r="AZ42" s="5">
        <f t="shared" si="52"/>
        <v>10284.309999999998</v>
      </c>
      <c r="BA42" s="9">
        <f t="shared" si="53"/>
        <v>1.0751387072498921</v>
      </c>
    </row>
    <row r="43" spans="1:53" x14ac:dyDescent="0.25">
      <c r="A43" s="3" t="s">
        <v>222</v>
      </c>
      <c r="B43" s="5">
        <f>5000</f>
        <v>5000</v>
      </c>
      <c r="C43" s="5">
        <f>2458.33</f>
        <v>2458.33</v>
      </c>
      <c r="D43" s="5">
        <f t="shared" si="27"/>
        <v>2541.67</v>
      </c>
      <c r="E43" s="9">
        <f t="shared" si="28"/>
        <v>2.0339010629166956</v>
      </c>
      <c r="F43" s="5">
        <f>5000</f>
        <v>5000</v>
      </c>
      <c r="G43" s="5">
        <f>2458.33</f>
        <v>2458.33</v>
      </c>
      <c r="H43" s="5">
        <f t="shared" si="29"/>
        <v>2541.67</v>
      </c>
      <c r="I43" s="9">
        <f t="shared" si="30"/>
        <v>2.0339010629166956</v>
      </c>
      <c r="J43" s="5">
        <f>5000</f>
        <v>5000</v>
      </c>
      <c r="K43" s="5">
        <f>2458.33</f>
        <v>2458.33</v>
      </c>
      <c r="L43" s="5">
        <f t="shared" si="31"/>
        <v>2541.67</v>
      </c>
      <c r="M43" s="9">
        <f t="shared" si="32"/>
        <v>2.0339010629166956</v>
      </c>
      <c r="N43" s="5">
        <f>6250</f>
        <v>6250</v>
      </c>
      <c r="O43" s="5">
        <f>2458.33</f>
        <v>2458.33</v>
      </c>
      <c r="P43" s="5">
        <f t="shared" si="33"/>
        <v>3791.67</v>
      </c>
      <c r="Q43" s="9">
        <f t="shared" si="34"/>
        <v>2.5423763286458696</v>
      </c>
      <c r="R43" s="5">
        <f>4500</f>
        <v>4500</v>
      </c>
      <c r="S43" s="5">
        <f>2458.33</f>
        <v>2458.33</v>
      </c>
      <c r="T43" s="5">
        <f t="shared" si="35"/>
        <v>2041.67</v>
      </c>
      <c r="U43" s="9">
        <f t="shared" si="36"/>
        <v>1.8305109566250259</v>
      </c>
      <c r="V43" s="5">
        <f>5000</f>
        <v>5000</v>
      </c>
      <c r="W43" s="5">
        <f>2458.33</f>
        <v>2458.33</v>
      </c>
      <c r="X43" s="5">
        <f t="shared" si="37"/>
        <v>2541.67</v>
      </c>
      <c r="Y43" s="9">
        <f t="shared" si="38"/>
        <v>2.0339010629166956</v>
      </c>
      <c r="Z43" s="4"/>
      <c r="AA43" s="5">
        <f>2458.33</f>
        <v>2458.33</v>
      </c>
      <c r="AB43" s="5">
        <f t="shared" si="39"/>
        <v>-2458.33</v>
      </c>
      <c r="AC43" s="9">
        <f t="shared" si="40"/>
        <v>0</v>
      </c>
      <c r="AD43" s="4"/>
      <c r="AE43" s="5">
        <f>2458.33</f>
        <v>2458.33</v>
      </c>
      <c r="AF43" s="5">
        <f t="shared" si="41"/>
        <v>-2458.33</v>
      </c>
      <c r="AG43" s="9">
        <f t="shared" si="42"/>
        <v>0</v>
      </c>
      <c r="AH43" s="4"/>
      <c r="AI43" s="5">
        <f>2458.33</f>
        <v>2458.33</v>
      </c>
      <c r="AJ43" s="5">
        <f t="shared" si="43"/>
        <v>-2458.33</v>
      </c>
      <c r="AK43" s="9">
        <f t="shared" si="44"/>
        <v>0</v>
      </c>
      <c r="AL43" s="108">
        <f>4166.66</f>
        <v>4166.66</v>
      </c>
      <c r="AM43" s="108">
        <f>2458.33</f>
        <v>2458.33</v>
      </c>
      <c r="AN43" s="108">
        <f t="shared" si="45"/>
        <v>1708.33</v>
      </c>
      <c r="AO43" s="109">
        <f t="shared" si="46"/>
        <v>1.6949148405624956</v>
      </c>
      <c r="AP43" s="4"/>
      <c r="AQ43" s="5">
        <f>2458.34</f>
        <v>2458.34</v>
      </c>
      <c r="AR43" s="5">
        <f t="shared" si="47"/>
        <v>-2458.34</v>
      </c>
      <c r="AS43" s="9">
        <f t="shared" si="48"/>
        <v>0</v>
      </c>
      <c r="AT43" s="4"/>
      <c r="AU43" s="5">
        <f>2458.36</f>
        <v>2458.36</v>
      </c>
      <c r="AV43" s="5">
        <f t="shared" si="49"/>
        <v>-2458.36</v>
      </c>
      <c r="AW43" s="9">
        <f t="shared" si="50"/>
        <v>0</v>
      </c>
      <c r="AX43" s="5">
        <f t="shared" si="51"/>
        <v>34916.660000000003</v>
      </c>
      <c r="AY43" s="5">
        <v>29500.000000000004</v>
      </c>
      <c r="AZ43" s="5">
        <f t="shared" si="52"/>
        <v>5416.66</v>
      </c>
      <c r="BA43" s="9">
        <f t="shared" si="53"/>
        <v>1.1836155932203389</v>
      </c>
    </row>
    <row r="44" spans="1:53" x14ac:dyDescent="0.25">
      <c r="A44" s="3" t="s">
        <v>221</v>
      </c>
      <c r="B44" s="4"/>
      <c r="C44" s="4"/>
      <c r="D44" s="5">
        <f t="shared" si="27"/>
        <v>0</v>
      </c>
      <c r="E44" s="9" t="str">
        <f t="shared" si="28"/>
        <v/>
      </c>
      <c r="F44" s="4"/>
      <c r="G44" s="4"/>
      <c r="H44" s="5">
        <f t="shared" si="29"/>
        <v>0</v>
      </c>
      <c r="I44" s="9" t="str">
        <f t="shared" si="30"/>
        <v/>
      </c>
      <c r="J44" s="4"/>
      <c r="K44" s="4"/>
      <c r="L44" s="5">
        <f t="shared" si="31"/>
        <v>0</v>
      </c>
      <c r="M44" s="9" t="str">
        <f t="shared" si="32"/>
        <v/>
      </c>
      <c r="N44" s="4"/>
      <c r="O44" s="4"/>
      <c r="P44" s="5">
        <f t="shared" si="33"/>
        <v>0</v>
      </c>
      <c r="Q44" s="9" t="str">
        <f t="shared" si="34"/>
        <v/>
      </c>
      <c r="R44" s="4"/>
      <c r="S44" s="4"/>
      <c r="T44" s="5">
        <f t="shared" si="35"/>
        <v>0</v>
      </c>
      <c r="U44" s="9" t="str">
        <f t="shared" si="36"/>
        <v/>
      </c>
      <c r="V44" s="4"/>
      <c r="W44" s="4"/>
      <c r="X44" s="5">
        <f t="shared" si="37"/>
        <v>0</v>
      </c>
      <c r="Y44" s="9" t="str">
        <f t="shared" si="38"/>
        <v/>
      </c>
      <c r="Z44" s="5">
        <f>1321.02</f>
        <v>1321.02</v>
      </c>
      <c r="AA44" s="4"/>
      <c r="AB44" s="5">
        <f t="shared" si="39"/>
        <v>1321.02</v>
      </c>
      <c r="AC44" s="9" t="str">
        <f t="shared" si="40"/>
        <v/>
      </c>
      <c r="AD44" s="4"/>
      <c r="AE44" s="4"/>
      <c r="AF44" s="5">
        <f t="shared" si="41"/>
        <v>0</v>
      </c>
      <c r="AG44" s="9" t="str">
        <f t="shared" si="42"/>
        <v/>
      </c>
      <c r="AH44" s="5">
        <f>1321.02</f>
        <v>1321.02</v>
      </c>
      <c r="AI44" s="4"/>
      <c r="AJ44" s="5">
        <f t="shared" si="43"/>
        <v>1321.02</v>
      </c>
      <c r="AK44" s="9" t="str">
        <f t="shared" si="44"/>
        <v/>
      </c>
      <c r="AL44" s="108">
        <f>859.52</f>
        <v>859.52</v>
      </c>
      <c r="AM44" s="107"/>
      <c r="AN44" s="108">
        <f t="shared" si="45"/>
        <v>859.52</v>
      </c>
      <c r="AO44" s="109" t="str">
        <f t="shared" si="46"/>
        <v/>
      </c>
      <c r="AP44" s="5">
        <f>859.52</f>
        <v>859.52</v>
      </c>
      <c r="AQ44" s="4"/>
      <c r="AR44" s="5">
        <f t="shared" si="47"/>
        <v>859.52</v>
      </c>
      <c r="AS44" s="9" t="str">
        <f t="shared" si="48"/>
        <v/>
      </c>
      <c r="AT44" s="4"/>
      <c r="AU44" s="4"/>
      <c r="AV44" s="5">
        <f t="shared" si="49"/>
        <v>0</v>
      </c>
      <c r="AW44" s="9" t="str">
        <f t="shared" si="50"/>
        <v/>
      </c>
      <c r="AX44" s="5">
        <f t="shared" si="51"/>
        <v>4361.08</v>
      </c>
      <c r="AY44" s="5">
        <v>0</v>
      </c>
      <c r="AZ44" s="5">
        <f t="shared" si="52"/>
        <v>4361.08</v>
      </c>
      <c r="BA44" s="9" t="str">
        <f t="shared" si="53"/>
        <v/>
      </c>
    </row>
    <row r="45" spans="1:53" x14ac:dyDescent="0.25">
      <c r="A45" s="3" t="s">
        <v>220</v>
      </c>
      <c r="B45" s="5">
        <f>32711</f>
        <v>32711</v>
      </c>
      <c r="C45" s="5">
        <f>38625</f>
        <v>38625</v>
      </c>
      <c r="D45" s="5">
        <f t="shared" si="27"/>
        <v>-5914</v>
      </c>
      <c r="E45" s="9">
        <f t="shared" si="28"/>
        <v>0.84688673139158577</v>
      </c>
      <c r="F45" s="5">
        <f>28177.5</f>
        <v>28177.5</v>
      </c>
      <c r="G45" s="5">
        <f>38625</f>
        <v>38625</v>
      </c>
      <c r="H45" s="5">
        <f t="shared" si="29"/>
        <v>-10447.5</v>
      </c>
      <c r="I45" s="9">
        <f t="shared" si="30"/>
        <v>0.72951456310679608</v>
      </c>
      <c r="J45" s="5">
        <f>29147.7</f>
        <v>29147.7</v>
      </c>
      <c r="K45" s="5">
        <f>38625</f>
        <v>38625</v>
      </c>
      <c r="L45" s="5">
        <f t="shared" si="31"/>
        <v>-9477.2999999999993</v>
      </c>
      <c r="M45" s="9">
        <f t="shared" si="32"/>
        <v>0.75463300970873792</v>
      </c>
      <c r="N45" s="5">
        <f>33245.46</f>
        <v>33245.46</v>
      </c>
      <c r="O45" s="5">
        <f>38625</f>
        <v>38625</v>
      </c>
      <c r="P45" s="5">
        <f t="shared" si="33"/>
        <v>-5379.5400000000009</v>
      </c>
      <c r="Q45" s="9">
        <f t="shared" si="34"/>
        <v>0.86072388349514561</v>
      </c>
      <c r="R45" s="5">
        <f>28961.98</f>
        <v>28961.98</v>
      </c>
      <c r="S45" s="5">
        <f>38625</f>
        <v>38625</v>
      </c>
      <c r="T45" s="5">
        <f t="shared" si="35"/>
        <v>-9663.02</v>
      </c>
      <c r="U45" s="9">
        <f t="shared" si="36"/>
        <v>0.7498247249190938</v>
      </c>
      <c r="V45" s="5">
        <f>26338</f>
        <v>26338</v>
      </c>
      <c r="W45" s="5">
        <f>38625</f>
        <v>38625</v>
      </c>
      <c r="X45" s="5">
        <f t="shared" si="37"/>
        <v>-12287</v>
      </c>
      <c r="Y45" s="9">
        <f t="shared" si="38"/>
        <v>0.68188996763754051</v>
      </c>
      <c r="Z45" s="5">
        <f>37754.89</f>
        <v>37754.89</v>
      </c>
      <c r="AA45" s="5">
        <f>38625</f>
        <v>38625</v>
      </c>
      <c r="AB45" s="5">
        <f t="shared" si="39"/>
        <v>-870.11000000000058</v>
      </c>
      <c r="AC45" s="9">
        <f t="shared" si="40"/>
        <v>0.97747288025889967</v>
      </c>
      <c r="AD45" s="5">
        <f>787.46</f>
        <v>787.46</v>
      </c>
      <c r="AE45" s="5">
        <f>38625</f>
        <v>38625</v>
      </c>
      <c r="AF45" s="5">
        <f t="shared" si="41"/>
        <v>-37837.54</v>
      </c>
      <c r="AG45" s="9">
        <f t="shared" si="42"/>
        <v>2.0387313915857606E-2</v>
      </c>
      <c r="AH45" s="5">
        <f>34537.81</f>
        <v>34537.81</v>
      </c>
      <c r="AI45" s="5">
        <f>38625</f>
        <v>38625</v>
      </c>
      <c r="AJ45" s="5">
        <f t="shared" si="43"/>
        <v>-4087.1900000000023</v>
      </c>
      <c r="AK45" s="9">
        <f t="shared" si="44"/>
        <v>0.894182783171521</v>
      </c>
      <c r="AL45" s="108">
        <f>25860.38</f>
        <v>25860.38</v>
      </c>
      <c r="AM45" s="108">
        <f>38625</f>
        <v>38625</v>
      </c>
      <c r="AN45" s="108">
        <f t="shared" si="45"/>
        <v>-12764.619999999999</v>
      </c>
      <c r="AO45" s="109">
        <f t="shared" si="46"/>
        <v>0.66952440129449842</v>
      </c>
      <c r="AP45" s="5">
        <f>29050.03</f>
        <v>29050.03</v>
      </c>
      <c r="AQ45" s="5">
        <f>38625</f>
        <v>38625</v>
      </c>
      <c r="AR45" s="5">
        <f t="shared" si="47"/>
        <v>-9574.9700000000012</v>
      </c>
      <c r="AS45" s="9">
        <f t="shared" si="48"/>
        <v>0.75210433656957931</v>
      </c>
      <c r="AT45" s="4"/>
      <c r="AU45" s="5">
        <f>38625</f>
        <v>38625</v>
      </c>
      <c r="AV45" s="5">
        <f t="shared" si="49"/>
        <v>-38625</v>
      </c>
      <c r="AW45" s="9">
        <f t="shared" si="50"/>
        <v>0</v>
      </c>
      <c r="AX45" s="5">
        <f t="shared" si="51"/>
        <v>306572.20999999996</v>
      </c>
      <c r="AY45" s="5">
        <v>463500</v>
      </c>
      <c r="AZ45" s="5">
        <f t="shared" si="52"/>
        <v>-156927.79000000004</v>
      </c>
      <c r="BA45" s="9">
        <f t="shared" si="53"/>
        <v>0.6614287162891046</v>
      </c>
    </row>
    <row r="46" spans="1:53" x14ac:dyDescent="0.25">
      <c r="A46" s="3" t="s">
        <v>219</v>
      </c>
      <c r="B46" s="5">
        <f>7295.42</f>
        <v>7295.42</v>
      </c>
      <c r="C46" s="5">
        <f>5274.42</f>
        <v>5274.42</v>
      </c>
      <c r="D46" s="5">
        <f t="shared" si="27"/>
        <v>2021</v>
      </c>
      <c r="E46" s="9">
        <f t="shared" si="28"/>
        <v>1.3831700926357779</v>
      </c>
      <c r="F46" s="5">
        <f>5480.76</f>
        <v>5480.76</v>
      </c>
      <c r="G46" s="5">
        <f>5274.42</f>
        <v>5274.42</v>
      </c>
      <c r="H46" s="5">
        <f t="shared" si="29"/>
        <v>206.34000000000015</v>
      </c>
      <c r="I46" s="9">
        <f t="shared" si="30"/>
        <v>1.0391208891214578</v>
      </c>
      <c r="J46" s="5">
        <f>6486.97</f>
        <v>6486.97</v>
      </c>
      <c r="K46" s="5">
        <f>5274.42</f>
        <v>5274.42</v>
      </c>
      <c r="L46" s="5">
        <f t="shared" si="31"/>
        <v>1212.5500000000002</v>
      </c>
      <c r="M46" s="9">
        <f t="shared" si="32"/>
        <v>1.2298925758661616</v>
      </c>
      <c r="N46" s="5">
        <f>6062.32</f>
        <v>6062.32</v>
      </c>
      <c r="O46" s="5">
        <f>5274.42</f>
        <v>5274.42</v>
      </c>
      <c r="P46" s="5">
        <f t="shared" si="33"/>
        <v>787.89999999999964</v>
      </c>
      <c r="Q46" s="9">
        <f t="shared" si="34"/>
        <v>1.1493813537791833</v>
      </c>
      <c r="R46" s="5">
        <f>7170.9</f>
        <v>7170.9</v>
      </c>
      <c r="S46" s="5">
        <f>5274.42</f>
        <v>5274.42</v>
      </c>
      <c r="T46" s="5">
        <f t="shared" si="35"/>
        <v>1896.4799999999996</v>
      </c>
      <c r="U46" s="9">
        <f t="shared" si="36"/>
        <v>1.3595618096397328</v>
      </c>
      <c r="V46" s="5">
        <f>7673.32</f>
        <v>7673.32</v>
      </c>
      <c r="W46" s="5">
        <f>5274.42</f>
        <v>5274.42</v>
      </c>
      <c r="X46" s="5">
        <f t="shared" si="37"/>
        <v>2398.8999999999996</v>
      </c>
      <c r="Y46" s="9">
        <f t="shared" si="38"/>
        <v>1.4548177809124037</v>
      </c>
      <c r="Z46" s="5">
        <f>10200.6</f>
        <v>10200.6</v>
      </c>
      <c r="AA46" s="5">
        <f>5274.42</f>
        <v>5274.42</v>
      </c>
      <c r="AB46" s="5">
        <f t="shared" si="39"/>
        <v>4926.18</v>
      </c>
      <c r="AC46" s="9">
        <f t="shared" si="40"/>
        <v>1.9339756788424129</v>
      </c>
      <c r="AD46" s="5">
        <f>6119.57</f>
        <v>6119.57</v>
      </c>
      <c r="AE46" s="5">
        <f>5274.42</f>
        <v>5274.42</v>
      </c>
      <c r="AF46" s="5">
        <f t="shared" si="41"/>
        <v>845.14999999999964</v>
      </c>
      <c r="AG46" s="9">
        <f t="shared" si="42"/>
        <v>1.1602356278036257</v>
      </c>
      <c r="AH46" s="5">
        <f>7790.47</f>
        <v>7790.47</v>
      </c>
      <c r="AI46" s="5">
        <f>5274.42</f>
        <v>5274.42</v>
      </c>
      <c r="AJ46" s="5">
        <f t="shared" si="43"/>
        <v>2516.0500000000002</v>
      </c>
      <c r="AK46" s="9">
        <f t="shared" si="44"/>
        <v>1.4770287538724638</v>
      </c>
      <c r="AL46" s="108">
        <f>-30256.18</f>
        <v>-30256.18</v>
      </c>
      <c r="AM46" s="108">
        <f>5274.42</f>
        <v>5274.42</v>
      </c>
      <c r="AN46" s="108">
        <f t="shared" si="45"/>
        <v>-35530.6</v>
      </c>
      <c r="AO46" s="109">
        <f t="shared" si="46"/>
        <v>-5.7363994524516437</v>
      </c>
      <c r="AP46" s="4"/>
      <c r="AQ46" s="5">
        <f>5274.4</f>
        <v>5274.4</v>
      </c>
      <c r="AR46" s="5">
        <f t="shared" si="47"/>
        <v>-5274.4</v>
      </c>
      <c r="AS46" s="9">
        <f t="shared" si="48"/>
        <v>0</v>
      </c>
      <c r="AT46" s="4"/>
      <c r="AU46" s="5">
        <f>5274.4</f>
        <v>5274.4</v>
      </c>
      <c r="AV46" s="5">
        <f t="shared" si="49"/>
        <v>-5274.4</v>
      </c>
      <c r="AW46" s="9">
        <f t="shared" si="50"/>
        <v>0</v>
      </c>
      <c r="AX46" s="5">
        <f t="shared" si="51"/>
        <v>34024.15</v>
      </c>
      <c r="AY46" s="5">
        <v>63292.999999999993</v>
      </c>
      <c r="AZ46" s="5">
        <f t="shared" si="52"/>
        <v>-29268.849999999991</v>
      </c>
      <c r="BA46" s="9">
        <f t="shared" si="53"/>
        <v>0.53756576556649238</v>
      </c>
    </row>
    <row r="47" spans="1:53" x14ac:dyDescent="0.25">
      <c r="A47" s="3" t="s">
        <v>218</v>
      </c>
      <c r="B47" s="5">
        <f>49887.19</f>
        <v>49887.19</v>
      </c>
      <c r="C47" s="5">
        <f>58865.08</f>
        <v>58865.08</v>
      </c>
      <c r="D47" s="5">
        <f t="shared" si="27"/>
        <v>-8977.89</v>
      </c>
      <c r="E47" s="9">
        <f t="shared" si="28"/>
        <v>0.8474836014832563</v>
      </c>
      <c r="F47" s="5">
        <f>92454.95</f>
        <v>92454.95</v>
      </c>
      <c r="G47" s="5">
        <f>58865.08</f>
        <v>58865.08</v>
      </c>
      <c r="H47" s="5">
        <f t="shared" si="29"/>
        <v>33589.869999999995</v>
      </c>
      <c r="I47" s="9">
        <f t="shared" si="30"/>
        <v>1.5706247235202941</v>
      </c>
      <c r="J47" s="5">
        <f>45909.21</f>
        <v>45909.21</v>
      </c>
      <c r="K47" s="5">
        <f>58865.08</f>
        <v>58865.08</v>
      </c>
      <c r="L47" s="5">
        <f t="shared" si="31"/>
        <v>-12955.870000000003</v>
      </c>
      <c r="M47" s="9">
        <f t="shared" si="32"/>
        <v>0.77990567582682291</v>
      </c>
      <c r="N47" s="5">
        <f>44742.44</f>
        <v>44742.44</v>
      </c>
      <c r="O47" s="5">
        <f>58865.08</f>
        <v>58865.08</v>
      </c>
      <c r="P47" s="5">
        <f t="shared" si="33"/>
        <v>-14122.64</v>
      </c>
      <c r="Q47" s="9">
        <f t="shared" si="34"/>
        <v>0.76008458665137291</v>
      </c>
      <c r="R47" s="5">
        <f>27837.87</f>
        <v>27837.87</v>
      </c>
      <c r="S47" s="5">
        <f>58865.08</f>
        <v>58865.08</v>
      </c>
      <c r="T47" s="5">
        <f t="shared" si="35"/>
        <v>-31027.210000000003</v>
      </c>
      <c r="U47" s="9">
        <f t="shared" si="36"/>
        <v>0.47290974547218823</v>
      </c>
      <c r="V47" s="5">
        <f>43398.01</f>
        <v>43398.01</v>
      </c>
      <c r="W47" s="5">
        <f>58865.08</f>
        <v>58865.08</v>
      </c>
      <c r="X47" s="5">
        <f t="shared" si="37"/>
        <v>-15467.07</v>
      </c>
      <c r="Y47" s="9">
        <f t="shared" si="38"/>
        <v>0.7372454093326638</v>
      </c>
      <c r="Z47" s="5">
        <f>47148.03</f>
        <v>47148.03</v>
      </c>
      <c r="AA47" s="5">
        <f>58865.08</f>
        <v>58865.08</v>
      </c>
      <c r="AB47" s="5">
        <f t="shared" si="39"/>
        <v>-11717.050000000003</v>
      </c>
      <c r="AC47" s="9">
        <f t="shared" si="40"/>
        <v>0.80095075042792774</v>
      </c>
      <c r="AD47" s="5">
        <f>37749.79</f>
        <v>37749.79</v>
      </c>
      <c r="AE47" s="5">
        <f>58865.08</f>
        <v>58865.08</v>
      </c>
      <c r="AF47" s="5">
        <f t="shared" si="41"/>
        <v>-21115.29</v>
      </c>
      <c r="AG47" s="9">
        <f t="shared" si="42"/>
        <v>0.64129344596151061</v>
      </c>
      <c r="AH47" s="5">
        <f>39741.38</f>
        <v>39741.379999999997</v>
      </c>
      <c r="AI47" s="5">
        <f>58865.08</f>
        <v>58865.08</v>
      </c>
      <c r="AJ47" s="5">
        <f t="shared" si="43"/>
        <v>-19123.700000000004</v>
      </c>
      <c r="AK47" s="9">
        <f t="shared" si="44"/>
        <v>0.67512657759065298</v>
      </c>
      <c r="AL47" s="108">
        <f>53383.95</f>
        <v>53383.95</v>
      </c>
      <c r="AM47" s="108">
        <f>58865.08</f>
        <v>58865.08</v>
      </c>
      <c r="AN47" s="108">
        <f t="shared" si="45"/>
        <v>-5481.1300000000047</v>
      </c>
      <c r="AO47" s="109">
        <f t="shared" si="46"/>
        <v>0.90688656160834225</v>
      </c>
      <c r="AP47" s="5">
        <f>64570.81</f>
        <v>64570.81</v>
      </c>
      <c r="AQ47" s="5">
        <f>58865.08</f>
        <v>58865.08</v>
      </c>
      <c r="AR47" s="5">
        <f t="shared" si="47"/>
        <v>5705.7299999999959</v>
      </c>
      <c r="AS47" s="9">
        <f t="shared" si="48"/>
        <v>1.0969289432716305</v>
      </c>
      <c r="AT47" s="4"/>
      <c r="AU47" s="5">
        <f>58865.12</f>
        <v>58865.120000000003</v>
      </c>
      <c r="AV47" s="5">
        <f t="shared" si="49"/>
        <v>-58865.120000000003</v>
      </c>
      <c r="AW47" s="9">
        <f t="shared" si="50"/>
        <v>0</v>
      </c>
      <c r="AX47" s="5">
        <f t="shared" si="51"/>
        <v>546823.62999999989</v>
      </c>
      <c r="AY47" s="5">
        <v>706381</v>
      </c>
      <c r="AZ47" s="5">
        <f t="shared" si="52"/>
        <v>-159557.37000000011</v>
      </c>
      <c r="BA47" s="9">
        <f t="shared" si="53"/>
        <v>0.77411995792638799</v>
      </c>
    </row>
    <row r="48" spans="1:53" x14ac:dyDescent="0.25">
      <c r="A48" s="3" t="s">
        <v>217</v>
      </c>
      <c r="B48" s="5">
        <f>1654.11</f>
        <v>1654.11</v>
      </c>
      <c r="C48" s="5">
        <f>1666.67</f>
        <v>1666.67</v>
      </c>
      <c r="D48" s="5">
        <f t="shared" si="27"/>
        <v>-12.560000000000173</v>
      </c>
      <c r="E48" s="9">
        <f t="shared" si="28"/>
        <v>0.9924640150719698</v>
      </c>
      <c r="F48" s="5">
        <f>1009.25</f>
        <v>1009.25</v>
      </c>
      <c r="G48" s="5">
        <f>1666.67</f>
        <v>1666.67</v>
      </c>
      <c r="H48" s="5">
        <f t="shared" si="29"/>
        <v>-657.42000000000007</v>
      </c>
      <c r="I48" s="9">
        <f t="shared" si="30"/>
        <v>0.60554878890242214</v>
      </c>
      <c r="J48" s="5">
        <f>1576.74</f>
        <v>1576.74</v>
      </c>
      <c r="K48" s="5">
        <f>1666.67</f>
        <v>1666.67</v>
      </c>
      <c r="L48" s="5">
        <f t="shared" si="31"/>
        <v>-89.930000000000064</v>
      </c>
      <c r="M48" s="9">
        <f t="shared" si="32"/>
        <v>0.94604210791578414</v>
      </c>
      <c r="N48" s="5">
        <f>1545.26</f>
        <v>1545.26</v>
      </c>
      <c r="O48" s="5">
        <f>1666.67</f>
        <v>1666.67</v>
      </c>
      <c r="P48" s="5">
        <f t="shared" si="33"/>
        <v>-121.41000000000008</v>
      </c>
      <c r="Q48" s="9">
        <f t="shared" si="34"/>
        <v>0.92715414569170862</v>
      </c>
      <c r="R48" s="5">
        <f>1070.33</f>
        <v>1070.33</v>
      </c>
      <c r="S48" s="5">
        <f>1666.67</f>
        <v>1666.67</v>
      </c>
      <c r="T48" s="5">
        <f t="shared" si="35"/>
        <v>-596.34000000000015</v>
      </c>
      <c r="U48" s="9">
        <f t="shared" si="36"/>
        <v>0.64219671560656877</v>
      </c>
      <c r="V48" s="5">
        <f>1089.32</f>
        <v>1089.32</v>
      </c>
      <c r="W48" s="5">
        <f>1666.67</f>
        <v>1666.67</v>
      </c>
      <c r="X48" s="5">
        <f t="shared" si="37"/>
        <v>-577.35000000000014</v>
      </c>
      <c r="Y48" s="9">
        <f t="shared" si="38"/>
        <v>0.65359069281861426</v>
      </c>
      <c r="Z48" s="5">
        <f>1793.49</f>
        <v>1793.49</v>
      </c>
      <c r="AA48" s="5">
        <f>1666.67</f>
        <v>1666.67</v>
      </c>
      <c r="AB48" s="5">
        <f t="shared" si="39"/>
        <v>126.81999999999994</v>
      </c>
      <c r="AC48" s="9">
        <f t="shared" si="40"/>
        <v>1.0760918478163044</v>
      </c>
      <c r="AD48" s="5">
        <f>1220.03</f>
        <v>1220.03</v>
      </c>
      <c r="AE48" s="5">
        <f>1666.67</f>
        <v>1666.67</v>
      </c>
      <c r="AF48" s="5">
        <f t="shared" si="41"/>
        <v>-446.6400000000001</v>
      </c>
      <c r="AG48" s="9">
        <f t="shared" si="42"/>
        <v>0.73201653596692806</v>
      </c>
      <c r="AH48" s="5">
        <f>2235.03</f>
        <v>2235.0300000000002</v>
      </c>
      <c r="AI48" s="5">
        <f>1666.67</f>
        <v>1666.67</v>
      </c>
      <c r="AJ48" s="5">
        <f t="shared" si="43"/>
        <v>568.36000000000013</v>
      </c>
      <c r="AK48" s="9">
        <f t="shared" si="44"/>
        <v>1.341015317969364</v>
      </c>
      <c r="AL48" s="108">
        <f>1981.95</f>
        <v>1981.95</v>
      </c>
      <c r="AM48" s="108">
        <f>1666.67</f>
        <v>1666.67</v>
      </c>
      <c r="AN48" s="108">
        <f t="shared" si="45"/>
        <v>315.27999999999997</v>
      </c>
      <c r="AO48" s="109">
        <f t="shared" si="46"/>
        <v>1.1891676216647566</v>
      </c>
      <c r="AP48" s="5">
        <f>2534.25</f>
        <v>2534.25</v>
      </c>
      <c r="AQ48" s="5">
        <f>1666.67</f>
        <v>1666.67</v>
      </c>
      <c r="AR48" s="5">
        <f t="shared" si="47"/>
        <v>867.57999999999993</v>
      </c>
      <c r="AS48" s="9">
        <f t="shared" si="48"/>
        <v>1.520546958906082</v>
      </c>
      <c r="AT48" s="4"/>
      <c r="AU48" s="5">
        <f>1666.63</f>
        <v>1666.63</v>
      </c>
      <c r="AV48" s="5">
        <f t="shared" si="49"/>
        <v>-1666.63</v>
      </c>
      <c r="AW48" s="9">
        <f t="shared" si="50"/>
        <v>0</v>
      </c>
      <c r="AX48" s="5">
        <f t="shared" si="51"/>
        <v>17709.760000000002</v>
      </c>
      <c r="AY48" s="5">
        <v>20000.000000000004</v>
      </c>
      <c r="AZ48" s="5">
        <f t="shared" si="52"/>
        <v>-2290.2400000000016</v>
      </c>
      <c r="BA48" s="9">
        <f t="shared" si="53"/>
        <v>0.88548799999999994</v>
      </c>
    </row>
    <row r="49" spans="1:53" x14ac:dyDescent="0.25">
      <c r="A49" s="3" t="s">
        <v>216</v>
      </c>
      <c r="B49" s="5">
        <f>2258.18</f>
        <v>2258.1799999999998</v>
      </c>
      <c r="C49" s="4"/>
      <c r="D49" s="5">
        <f t="shared" si="27"/>
        <v>2258.1799999999998</v>
      </c>
      <c r="E49" s="9" t="str">
        <f t="shared" si="28"/>
        <v/>
      </c>
      <c r="F49" s="5">
        <f>1632.2</f>
        <v>1632.2</v>
      </c>
      <c r="G49" s="4"/>
      <c r="H49" s="5">
        <f t="shared" si="29"/>
        <v>1632.2</v>
      </c>
      <c r="I49" s="9" t="str">
        <f t="shared" si="30"/>
        <v/>
      </c>
      <c r="J49" s="5">
        <f>2940.17</f>
        <v>2940.17</v>
      </c>
      <c r="K49" s="4"/>
      <c r="L49" s="5">
        <f t="shared" si="31"/>
        <v>2940.17</v>
      </c>
      <c r="M49" s="9" t="str">
        <f t="shared" si="32"/>
        <v/>
      </c>
      <c r="N49" s="5">
        <f>1321.02</f>
        <v>1321.02</v>
      </c>
      <c r="O49" s="4"/>
      <c r="P49" s="5">
        <f t="shared" si="33"/>
        <v>1321.02</v>
      </c>
      <c r="Q49" s="9" t="str">
        <f t="shared" si="34"/>
        <v/>
      </c>
      <c r="R49" s="5">
        <f>1321.02</f>
        <v>1321.02</v>
      </c>
      <c r="S49" s="4"/>
      <c r="T49" s="5">
        <f t="shared" si="35"/>
        <v>1321.02</v>
      </c>
      <c r="U49" s="9" t="str">
        <f t="shared" si="36"/>
        <v/>
      </c>
      <c r="V49" s="5">
        <f>1977.02</f>
        <v>1977.02</v>
      </c>
      <c r="W49" s="4"/>
      <c r="X49" s="5">
        <f t="shared" si="37"/>
        <v>1977.02</v>
      </c>
      <c r="Y49" s="9" t="str">
        <f t="shared" si="38"/>
        <v/>
      </c>
      <c r="Z49" s="4"/>
      <c r="AA49" s="4"/>
      <c r="AB49" s="5">
        <f t="shared" si="39"/>
        <v>0</v>
      </c>
      <c r="AC49" s="9" t="str">
        <f t="shared" si="40"/>
        <v/>
      </c>
      <c r="AD49" s="5">
        <f>1571.15</f>
        <v>1571.15</v>
      </c>
      <c r="AE49" s="4"/>
      <c r="AF49" s="5">
        <f t="shared" si="41"/>
        <v>1571.15</v>
      </c>
      <c r="AG49" s="9" t="str">
        <f t="shared" si="42"/>
        <v/>
      </c>
      <c r="AH49" s="5">
        <f>328</f>
        <v>328</v>
      </c>
      <c r="AI49" s="4"/>
      <c r="AJ49" s="5">
        <f t="shared" si="43"/>
        <v>328</v>
      </c>
      <c r="AK49" s="9" t="str">
        <f t="shared" si="44"/>
        <v/>
      </c>
      <c r="AL49" s="108">
        <f>328</f>
        <v>328</v>
      </c>
      <c r="AM49" s="107"/>
      <c r="AN49" s="108">
        <f t="shared" si="45"/>
        <v>328</v>
      </c>
      <c r="AO49" s="109" t="str">
        <f t="shared" si="46"/>
        <v/>
      </c>
      <c r="AP49" s="5">
        <f>328</f>
        <v>328</v>
      </c>
      <c r="AQ49" s="4"/>
      <c r="AR49" s="5">
        <f t="shared" si="47"/>
        <v>328</v>
      </c>
      <c r="AS49" s="9" t="str">
        <f t="shared" si="48"/>
        <v/>
      </c>
      <c r="AT49" s="4"/>
      <c r="AU49" s="4"/>
      <c r="AV49" s="5">
        <f t="shared" si="49"/>
        <v>0</v>
      </c>
      <c r="AW49" s="9" t="str">
        <f t="shared" si="50"/>
        <v/>
      </c>
      <c r="AX49" s="5">
        <f t="shared" si="51"/>
        <v>14004.76</v>
      </c>
      <c r="AY49" s="5">
        <v>0</v>
      </c>
      <c r="AZ49" s="5">
        <f t="shared" si="52"/>
        <v>14004.76</v>
      </c>
      <c r="BA49" s="9" t="str">
        <f t="shared" si="53"/>
        <v/>
      </c>
    </row>
    <row r="50" spans="1:53" x14ac:dyDescent="0.25">
      <c r="A50" s="3" t="s">
        <v>215</v>
      </c>
      <c r="B50" s="5">
        <f>10576.67</f>
        <v>10576.67</v>
      </c>
      <c r="C50" s="5">
        <f>5833.33</f>
        <v>5833.33</v>
      </c>
      <c r="D50" s="5">
        <f t="shared" si="27"/>
        <v>4743.34</v>
      </c>
      <c r="E50" s="9">
        <f t="shared" si="28"/>
        <v>1.8131444646539798</v>
      </c>
      <c r="F50" s="5">
        <f>11333.9</f>
        <v>11333.9</v>
      </c>
      <c r="G50" s="5">
        <f>5833.33</f>
        <v>5833.33</v>
      </c>
      <c r="H50" s="5">
        <f t="shared" si="29"/>
        <v>5500.57</v>
      </c>
      <c r="I50" s="9">
        <f t="shared" si="30"/>
        <v>1.9429553959745121</v>
      </c>
      <c r="J50" s="5">
        <f>3251.82</f>
        <v>3251.82</v>
      </c>
      <c r="K50" s="5">
        <f>5833.33</f>
        <v>5833.33</v>
      </c>
      <c r="L50" s="5">
        <f t="shared" si="31"/>
        <v>-2581.5099999999998</v>
      </c>
      <c r="M50" s="9">
        <f t="shared" si="32"/>
        <v>0.55745517568867187</v>
      </c>
      <c r="N50" s="5">
        <f>2044.24</f>
        <v>2044.24</v>
      </c>
      <c r="O50" s="5">
        <f>5833.33</f>
        <v>5833.33</v>
      </c>
      <c r="P50" s="5">
        <f t="shared" si="33"/>
        <v>-3789.09</v>
      </c>
      <c r="Q50" s="9">
        <f t="shared" si="34"/>
        <v>0.35044134310933894</v>
      </c>
      <c r="R50" s="5">
        <f>161.69</f>
        <v>161.69</v>
      </c>
      <c r="S50" s="5">
        <f>5833.33</f>
        <v>5833.33</v>
      </c>
      <c r="T50" s="5">
        <f t="shared" si="35"/>
        <v>-5671.64</v>
      </c>
      <c r="U50" s="9">
        <f t="shared" si="36"/>
        <v>2.7718301553315172E-2</v>
      </c>
      <c r="V50" s="5">
        <f>677.47</f>
        <v>677.47</v>
      </c>
      <c r="W50" s="5">
        <f>5833.33</f>
        <v>5833.33</v>
      </c>
      <c r="X50" s="5">
        <f t="shared" si="37"/>
        <v>-5155.8599999999997</v>
      </c>
      <c r="Y50" s="9">
        <f t="shared" si="38"/>
        <v>0.11613778065016038</v>
      </c>
      <c r="Z50" s="5">
        <f>2363.29</f>
        <v>2363.29</v>
      </c>
      <c r="AA50" s="5">
        <f>5833.33</f>
        <v>5833.33</v>
      </c>
      <c r="AB50" s="5">
        <f t="shared" si="39"/>
        <v>-3470.04</v>
      </c>
      <c r="AC50" s="9">
        <f t="shared" si="40"/>
        <v>0.40513566007752005</v>
      </c>
      <c r="AD50" s="5">
        <f>6194.34</f>
        <v>6194.34</v>
      </c>
      <c r="AE50" s="5">
        <f>5833.33</f>
        <v>5833.33</v>
      </c>
      <c r="AF50" s="5">
        <f t="shared" si="41"/>
        <v>361.01000000000022</v>
      </c>
      <c r="AG50" s="9">
        <f t="shared" si="42"/>
        <v>1.0618874639356937</v>
      </c>
      <c r="AH50" s="5">
        <f>2781.16</f>
        <v>2781.16</v>
      </c>
      <c r="AI50" s="5">
        <f>5833.33</f>
        <v>5833.33</v>
      </c>
      <c r="AJ50" s="5">
        <f t="shared" si="43"/>
        <v>-3052.17</v>
      </c>
      <c r="AK50" s="9">
        <f t="shared" si="44"/>
        <v>0.47677055815460462</v>
      </c>
      <c r="AL50" s="108">
        <f>3122.47</f>
        <v>3122.47</v>
      </c>
      <c r="AM50" s="108">
        <f>5833.03</f>
        <v>5833.03</v>
      </c>
      <c r="AN50" s="108">
        <f t="shared" si="45"/>
        <v>-2710.56</v>
      </c>
      <c r="AO50" s="109">
        <f t="shared" si="46"/>
        <v>0.53530840746575958</v>
      </c>
      <c r="AP50" s="5">
        <f>5140.09</f>
        <v>5140.09</v>
      </c>
      <c r="AQ50" s="5">
        <f>5833</f>
        <v>5833</v>
      </c>
      <c r="AR50" s="5">
        <f t="shared" si="47"/>
        <v>-692.90999999999985</v>
      </c>
      <c r="AS50" s="9">
        <f t="shared" si="48"/>
        <v>0.88120864049374248</v>
      </c>
      <c r="AT50" s="5">
        <f>65.66</f>
        <v>65.66</v>
      </c>
      <c r="AU50" s="5">
        <f>81167</f>
        <v>81167</v>
      </c>
      <c r="AV50" s="5">
        <f t="shared" si="49"/>
        <v>-81101.34</v>
      </c>
      <c r="AW50" s="9">
        <f t="shared" si="50"/>
        <v>8.0894944989958969E-4</v>
      </c>
      <c r="AX50" s="5">
        <f t="shared" si="51"/>
        <v>47712.800000000003</v>
      </c>
      <c r="AY50" s="5">
        <v>145333</v>
      </c>
      <c r="AZ50" s="5">
        <f t="shared" si="52"/>
        <v>-97620.2</v>
      </c>
      <c r="BA50" s="9">
        <f t="shared" si="53"/>
        <v>0.32829983555008158</v>
      </c>
    </row>
    <row r="51" spans="1:53" x14ac:dyDescent="0.25">
      <c r="A51" s="3" t="s">
        <v>214</v>
      </c>
      <c r="B51" s="4"/>
      <c r="C51" s="5">
        <f>433.33</f>
        <v>433.33</v>
      </c>
      <c r="D51" s="5">
        <f t="shared" si="27"/>
        <v>-433.33</v>
      </c>
      <c r="E51" s="9">
        <f t="shared" si="28"/>
        <v>0</v>
      </c>
      <c r="F51" s="4"/>
      <c r="G51" s="5">
        <f>433.33</f>
        <v>433.33</v>
      </c>
      <c r="H51" s="5">
        <f t="shared" si="29"/>
        <v>-433.33</v>
      </c>
      <c r="I51" s="9">
        <f t="shared" si="30"/>
        <v>0</v>
      </c>
      <c r="J51" s="4"/>
      <c r="K51" s="5">
        <f>433.33</f>
        <v>433.33</v>
      </c>
      <c r="L51" s="5">
        <f t="shared" si="31"/>
        <v>-433.33</v>
      </c>
      <c r="M51" s="9">
        <f t="shared" si="32"/>
        <v>0</v>
      </c>
      <c r="N51" s="4"/>
      <c r="O51" s="5">
        <f>433.33</f>
        <v>433.33</v>
      </c>
      <c r="P51" s="5">
        <f t="shared" si="33"/>
        <v>-433.33</v>
      </c>
      <c r="Q51" s="9">
        <f t="shared" si="34"/>
        <v>0</v>
      </c>
      <c r="R51" s="4"/>
      <c r="S51" s="5">
        <f>433.33</f>
        <v>433.33</v>
      </c>
      <c r="T51" s="5">
        <f t="shared" si="35"/>
        <v>-433.33</v>
      </c>
      <c r="U51" s="9">
        <f t="shared" si="36"/>
        <v>0</v>
      </c>
      <c r="V51" s="4"/>
      <c r="W51" s="5">
        <f>433.33</f>
        <v>433.33</v>
      </c>
      <c r="X51" s="5">
        <f t="shared" si="37"/>
        <v>-433.33</v>
      </c>
      <c r="Y51" s="9">
        <f t="shared" si="38"/>
        <v>0</v>
      </c>
      <c r="Z51" s="4"/>
      <c r="AA51" s="5">
        <f>433.33</f>
        <v>433.33</v>
      </c>
      <c r="AB51" s="5">
        <f t="shared" si="39"/>
        <v>-433.33</v>
      </c>
      <c r="AC51" s="9">
        <f t="shared" si="40"/>
        <v>0</v>
      </c>
      <c r="AD51" s="5">
        <f>262.15</f>
        <v>262.14999999999998</v>
      </c>
      <c r="AE51" s="5">
        <f>433.33</f>
        <v>433.33</v>
      </c>
      <c r="AF51" s="5">
        <f t="shared" si="41"/>
        <v>-171.18</v>
      </c>
      <c r="AG51" s="9">
        <f t="shared" si="42"/>
        <v>0.60496619204763113</v>
      </c>
      <c r="AH51" s="4"/>
      <c r="AI51" s="5">
        <f>433.33</f>
        <v>433.33</v>
      </c>
      <c r="AJ51" s="5">
        <f t="shared" si="43"/>
        <v>-433.33</v>
      </c>
      <c r="AK51" s="9">
        <f t="shared" si="44"/>
        <v>0</v>
      </c>
      <c r="AL51" s="107"/>
      <c r="AM51" s="108">
        <f>433.33</f>
        <v>433.33</v>
      </c>
      <c r="AN51" s="108">
        <f t="shared" si="45"/>
        <v>-433.33</v>
      </c>
      <c r="AO51" s="109">
        <f t="shared" si="46"/>
        <v>0</v>
      </c>
      <c r="AP51" s="5">
        <f>371.6</f>
        <v>371.6</v>
      </c>
      <c r="AQ51" s="5">
        <f>433.33</f>
        <v>433.33</v>
      </c>
      <c r="AR51" s="5">
        <f t="shared" si="47"/>
        <v>-61.729999999999961</v>
      </c>
      <c r="AS51" s="9">
        <f t="shared" si="48"/>
        <v>0.85754505803890813</v>
      </c>
      <c r="AT51" s="5">
        <f>84.34</f>
        <v>84.34</v>
      </c>
      <c r="AU51" s="5">
        <f>433.37</f>
        <v>433.37</v>
      </c>
      <c r="AV51" s="5">
        <f t="shared" si="49"/>
        <v>-349.03</v>
      </c>
      <c r="AW51" s="9">
        <f t="shared" si="50"/>
        <v>0.19461430186676512</v>
      </c>
      <c r="AX51" s="5">
        <f t="shared" si="51"/>
        <v>718.09</v>
      </c>
      <c r="AY51" s="5">
        <v>5200</v>
      </c>
      <c r="AZ51" s="5">
        <f t="shared" si="52"/>
        <v>-4481.91</v>
      </c>
      <c r="BA51" s="9">
        <f t="shared" si="53"/>
        <v>0.13809423076923077</v>
      </c>
    </row>
    <row r="52" spans="1:53" x14ac:dyDescent="0.25">
      <c r="A52" s="3" t="s">
        <v>213</v>
      </c>
      <c r="B52" s="4"/>
      <c r="C52" s="5">
        <f>2500</f>
        <v>2500</v>
      </c>
      <c r="D52" s="5">
        <f t="shared" si="27"/>
        <v>-2500</v>
      </c>
      <c r="E52" s="9">
        <f t="shared" si="28"/>
        <v>0</v>
      </c>
      <c r="F52" s="5">
        <f>2051.93</f>
        <v>2051.9299999999998</v>
      </c>
      <c r="G52" s="5">
        <f>2500</f>
        <v>2500</v>
      </c>
      <c r="H52" s="5">
        <f t="shared" si="29"/>
        <v>-448.07000000000016</v>
      </c>
      <c r="I52" s="9">
        <f t="shared" si="30"/>
        <v>0.82077199999999995</v>
      </c>
      <c r="J52" s="5">
        <f>14841.95</f>
        <v>14841.95</v>
      </c>
      <c r="K52" s="5">
        <f>2500</f>
        <v>2500</v>
      </c>
      <c r="L52" s="5">
        <f t="shared" si="31"/>
        <v>12341.95</v>
      </c>
      <c r="M52" s="9">
        <f t="shared" si="32"/>
        <v>5.9367800000000006</v>
      </c>
      <c r="N52" s="5">
        <f>2292.6</f>
        <v>2292.6</v>
      </c>
      <c r="O52" s="5">
        <f>2500</f>
        <v>2500</v>
      </c>
      <c r="P52" s="5">
        <f t="shared" si="33"/>
        <v>-207.40000000000009</v>
      </c>
      <c r="Q52" s="9">
        <f t="shared" si="34"/>
        <v>0.91703999999999997</v>
      </c>
      <c r="R52" s="4"/>
      <c r="S52" s="5">
        <f>2500</f>
        <v>2500</v>
      </c>
      <c r="T52" s="5">
        <f t="shared" si="35"/>
        <v>-2500</v>
      </c>
      <c r="U52" s="9">
        <f t="shared" si="36"/>
        <v>0</v>
      </c>
      <c r="V52" s="5">
        <f>580.89</f>
        <v>580.89</v>
      </c>
      <c r="W52" s="5">
        <f>2500</f>
        <v>2500</v>
      </c>
      <c r="X52" s="5">
        <f t="shared" si="37"/>
        <v>-1919.1100000000001</v>
      </c>
      <c r="Y52" s="9">
        <f t="shared" si="38"/>
        <v>0.23235600000000001</v>
      </c>
      <c r="Z52" s="5">
        <f>50</f>
        <v>50</v>
      </c>
      <c r="AA52" s="5">
        <f>2500</f>
        <v>2500</v>
      </c>
      <c r="AB52" s="5">
        <f t="shared" si="39"/>
        <v>-2450</v>
      </c>
      <c r="AC52" s="9">
        <f t="shared" si="40"/>
        <v>0.02</v>
      </c>
      <c r="AD52" s="5">
        <f>3724.54</f>
        <v>3724.54</v>
      </c>
      <c r="AE52" s="5">
        <f>2500</f>
        <v>2500</v>
      </c>
      <c r="AF52" s="5">
        <f t="shared" si="41"/>
        <v>1224.54</v>
      </c>
      <c r="AG52" s="9">
        <f t="shared" si="42"/>
        <v>1.489816</v>
      </c>
      <c r="AH52" s="4"/>
      <c r="AI52" s="5">
        <f>2500</f>
        <v>2500</v>
      </c>
      <c r="AJ52" s="5">
        <f t="shared" si="43"/>
        <v>-2500</v>
      </c>
      <c r="AK52" s="9">
        <f t="shared" si="44"/>
        <v>0</v>
      </c>
      <c r="AL52" s="108">
        <f>1933.83</f>
        <v>1933.83</v>
      </c>
      <c r="AM52" s="108">
        <f>2500</f>
        <v>2500</v>
      </c>
      <c r="AN52" s="108">
        <f t="shared" si="45"/>
        <v>-566.17000000000007</v>
      </c>
      <c r="AO52" s="109">
        <f t="shared" si="46"/>
        <v>0.773532</v>
      </c>
      <c r="AP52" s="5">
        <f>3473</f>
        <v>3473</v>
      </c>
      <c r="AQ52" s="5">
        <f>2500</f>
        <v>2500</v>
      </c>
      <c r="AR52" s="5">
        <f t="shared" si="47"/>
        <v>973</v>
      </c>
      <c r="AS52" s="9">
        <f t="shared" si="48"/>
        <v>1.3892</v>
      </c>
      <c r="AT52" s="4"/>
      <c r="AU52" s="5">
        <f>2500</f>
        <v>2500</v>
      </c>
      <c r="AV52" s="5">
        <f t="shared" si="49"/>
        <v>-2500</v>
      </c>
      <c r="AW52" s="9">
        <f t="shared" si="50"/>
        <v>0</v>
      </c>
      <c r="AX52" s="5">
        <f t="shared" si="51"/>
        <v>28948.739999999998</v>
      </c>
      <c r="AY52" s="5">
        <v>30000</v>
      </c>
      <c r="AZ52" s="5">
        <f t="shared" si="52"/>
        <v>-1051.260000000002</v>
      </c>
      <c r="BA52" s="9">
        <f t="shared" si="53"/>
        <v>0.96495799999999998</v>
      </c>
    </row>
    <row r="53" spans="1:53" x14ac:dyDescent="0.25">
      <c r="A53" s="3" t="s">
        <v>212</v>
      </c>
      <c r="B53" s="4"/>
      <c r="C53" s="5">
        <f>833.33</f>
        <v>833.33</v>
      </c>
      <c r="D53" s="5">
        <f t="shared" si="27"/>
        <v>-833.33</v>
      </c>
      <c r="E53" s="9">
        <f t="shared" si="28"/>
        <v>0</v>
      </c>
      <c r="F53" s="4"/>
      <c r="G53" s="5">
        <f>833.33</f>
        <v>833.33</v>
      </c>
      <c r="H53" s="5">
        <f t="shared" si="29"/>
        <v>-833.33</v>
      </c>
      <c r="I53" s="9">
        <f t="shared" si="30"/>
        <v>0</v>
      </c>
      <c r="J53" s="4"/>
      <c r="K53" s="5">
        <f>833.33</f>
        <v>833.33</v>
      </c>
      <c r="L53" s="5">
        <f t="shared" si="31"/>
        <v>-833.33</v>
      </c>
      <c r="M53" s="9">
        <f t="shared" si="32"/>
        <v>0</v>
      </c>
      <c r="N53" s="4"/>
      <c r="O53" s="5">
        <f>833.33</f>
        <v>833.33</v>
      </c>
      <c r="P53" s="5">
        <f t="shared" si="33"/>
        <v>-833.33</v>
      </c>
      <c r="Q53" s="9">
        <f t="shared" si="34"/>
        <v>0</v>
      </c>
      <c r="R53" s="4"/>
      <c r="S53" s="5">
        <f>833.33</f>
        <v>833.33</v>
      </c>
      <c r="T53" s="5">
        <f t="shared" si="35"/>
        <v>-833.33</v>
      </c>
      <c r="U53" s="9">
        <f t="shared" si="36"/>
        <v>0</v>
      </c>
      <c r="V53" s="4"/>
      <c r="W53" s="5">
        <f>833.33</f>
        <v>833.33</v>
      </c>
      <c r="X53" s="5">
        <f t="shared" si="37"/>
        <v>-833.33</v>
      </c>
      <c r="Y53" s="9">
        <f t="shared" si="38"/>
        <v>0</v>
      </c>
      <c r="Z53" s="5">
        <f>165.26</f>
        <v>165.26</v>
      </c>
      <c r="AA53" s="5">
        <f>833.33</f>
        <v>833.33</v>
      </c>
      <c r="AB53" s="5">
        <f t="shared" si="39"/>
        <v>-668.07</v>
      </c>
      <c r="AC53" s="9">
        <f t="shared" si="40"/>
        <v>0.19831279325117299</v>
      </c>
      <c r="AD53" s="4"/>
      <c r="AE53" s="5">
        <f>833.33</f>
        <v>833.33</v>
      </c>
      <c r="AF53" s="5">
        <f t="shared" si="41"/>
        <v>-833.33</v>
      </c>
      <c r="AG53" s="9">
        <f t="shared" si="42"/>
        <v>0</v>
      </c>
      <c r="AH53" s="4"/>
      <c r="AI53" s="5">
        <f>833.33</f>
        <v>833.33</v>
      </c>
      <c r="AJ53" s="5">
        <f t="shared" si="43"/>
        <v>-833.33</v>
      </c>
      <c r="AK53" s="9">
        <f t="shared" si="44"/>
        <v>0</v>
      </c>
      <c r="AL53" s="108">
        <f>105.39</f>
        <v>105.39</v>
      </c>
      <c r="AM53" s="108">
        <f>833.33</f>
        <v>833.33</v>
      </c>
      <c r="AN53" s="108">
        <f t="shared" si="45"/>
        <v>-727.94</v>
      </c>
      <c r="AO53" s="109">
        <f t="shared" si="46"/>
        <v>0.1264685058740235</v>
      </c>
      <c r="AP53" s="4"/>
      <c r="AQ53" s="5">
        <f>833.36</f>
        <v>833.36</v>
      </c>
      <c r="AR53" s="5">
        <f t="shared" si="47"/>
        <v>-833.36</v>
      </c>
      <c r="AS53" s="9">
        <f t="shared" si="48"/>
        <v>0</v>
      </c>
      <c r="AT53" s="4"/>
      <c r="AU53" s="5">
        <f>833.34</f>
        <v>833.34</v>
      </c>
      <c r="AV53" s="5">
        <f t="shared" si="49"/>
        <v>-833.34</v>
      </c>
      <c r="AW53" s="9">
        <f t="shared" si="50"/>
        <v>0</v>
      </c>
      <c r="AX53" s="5">
        <f t="shared" si="51"/>
        <v>270.64999999999998</v>
      </c>
      <c r="AY53" s="5">
        <v>10000.000000000002</v>
      </c>
      <c r="AZ53" s="5">
        <f t="shared" si="52"/>
        <v>-9729.3500000000022</v>
      </c>
      <c r="BA53" s="9">
        <f t="shared" si="53"/>
        <v>2.7064999999999992E-2</v>
      </c>
    </row>
    <row r="54" spans="1:53" x14ac:dyDescent="0.25">
      <c r="A54" s="3" t="s">
        <v>211</v>
      </c>
      <c r="B54" s="4"/>
      <c r="C54" s="5">
        <f>2500</f>
        <v>2500</v>
      </c>
      <c r="D54" s="5">
        <f t="shared" si="27"/>
        <v>-2500</v>
      </c>
      <c r="E54" s="9">
        <f t="shared" si="28"/>
        <v>0</v>
      </c>
      <c r="F54" s="4"/>
      <c r="G54" s="5">
        <f>2500</f>
        <v>2500</v>
      </c>
      <c r="H54" s="5">
        <f t="shared" si="29"/>
        <v>-2500</v>
      </c>
      <c r="I54" s="9">
        <f t="shared" si="30"/>
        <v>0</v>
      </c>
      <c r="J54" s="4"/>
      <c r="K54" s="5">
        <f>2500</f>
        <v>2500</v>
      </c>
      <c r="L54" s="5">
        <f t="shared" si="31"/>
        <v>-2500</v>
      </c>
      <c r="M54" s="9">
        <f t="shared" si="32"/>
        <v>0</v>
      </c>
      <c r="N54" s="4"/>
      <c r="O54" s="5">
        <f>2500</f>
        <v>2500</v>
      </c>
      <c r="P54" s="5">
        <f t="shared" si="33"/>
        <v>-2500</v>
      </c>
      <c r="Q54" s="9">
        <f t="shared" si="34"/>
        <v>0</v>
      </c>
      <c r="R54" s="4"/>
      <c r="S54" s="5">
        <f>2500</f>
        <v>2500</v>
      </c>
      <c r="T54" s="5">
        <f t="shared" si="35"/>
        <v>-2500</v>
      </c>
      <c r="U54" s="9">
        <f t="shared" si="36"/>
        <v>0</v>
      </c>
      <c r="V54" s="4"/>
      <c r="W54" s="5">
        <f>2500</f>
        <v>2500</v>
      </c>
      <c r="X54" s="5">
        <f t="shared" si="37"/>
        <v>-2500</v>
      </c>
      <c r="Y54" s="9">
        <f t="shared" si="38"/>
        <v>0</v>
      </c>
      <c r="Z54" s="4"/>
      <c r="AA54" s="5">
        <f>2500</f>
        <v>2500</v>
      </c>
      <c r="AB54" s="5">
        <f t="shared" si="39"/>
        <v>-2500</v>
      </c>
      <c r="AC54" s="9">
        <f t="shared" si="40"/>
        <v>0</v>
      </c>
      <c r="AD54" s="4"/>
      <c r="AE54" s="5">
        <f>2500</f>
        <v>2500</v>
      </c>
      <c r="AF54" s="5">
        <f t="shared" si="41"/>
        <v>-2500</v>
      </c>
      <c r="AG54" s="9">
        <f t="shared" si="42"/>
        <v>0</v>
      </c>
      <c r="AH54" s="4"/>
      <c r="AI54" s="5">
        <f>2500</f>
        <v>2500</v>
      </c>
      <c r="AJ54" s="5">
        <f t="shared" si="43"/>
        <v>-2500</v>
      </c>
      <c r="AK54" s="9">
        <f t="shared" si="44"/>
        <v>0</v>
      </c>
      <c r="AL54" s="108">
        <f>252.06</f>
        <v>252.06</v>
      </c>
      <c r="AM54" s="108">
        <f>2500</f>
        <v>2500</v>
      </c>
      <c r="AN54" s="108">
        <f t="shared" si="45"/>
        <v>-2247.94</v>
      </c>
      <c r="AO54" s="109">
        <f t="shared" si="46"/>
        <v>0.100824</v>
      </c>
      <c r="AP54" s="5">
        <f>206</f>
        <v>206</v>
      </c>
      <c r="AQ54" s="5">
        <f>2500</f>
        <v>2500</v>
      </c>
      <c r="AR54" s="5">
        <f t="shared" si="47"/>
        <v>-2294</v>
      </c>
      <c r="AS54" s="9">
        <f t="shared" si="48"/>
        <v>8.2400000000000001E-2</v>
      </c>
      <c r="AT54" s="4"/>
      <c r="AU54" s="5">
        <f>2500</f>
        <v>2500</v>
      </c>
      <c r="AV54" s="5">
        <f t="shared" si="49"/>
        <v>-2500</v>
      </c>
      <c r="AW54" s="9">
        <f t="shared" si="50"/>
        <v>0</v>
      </c>
      <c r="AX54" s="5">
        <f t="shared" si="51"/>
        <v>458.06</v>
      </c>
      <c r="AY54" s="5">
        <v>30000</v>
      </c>
      <c r="AZ54" s="5">
        <f t="shared" si="52"/>
        <v>-29541.94</v>
      </c>
      <c r="BA54" s="9">
        <f t="shared" si="53"/>
        <v>1.5268666666666666E-2</v>
      </c>
    </row>
    <row r="55" spans="1:53" x14ac:dyDescent="0.25">
      <c r="A55" s="3" t="s">
        <v>210</v>
      </c>
      <c r="B55" s="4"/>
      <c r="C55" s="4"/>
      <c r="D55" s="5">
        <f t="shared" si="27"/>
        <v>0</v>
      </c>
      <c r="E55" s="9" t="str">
        <f t="shared" si="28"/>
        <v/>
      </c>
      <c r="F55" s="4"/>
      <c r="G55" s="4"/>
      <c r="H55" s="5">
        <f t="shared" si="29"/>
        <v>0</v>
      </c>
      <c r="I55" s="9" t="str">
        <f t="shared" si="30"/>
        <v/>
      </c>
      <c r="J55" s="4"/>
      <c r="K55" s="4"/>
      <c r="L55" s="5">
        <f t="shared" si="31"/>
        <v>0</v>
      </c>
      <c r="M55" s="9" t="str">
        <f t="shared" si="32"/>
        <v/>
      </c>
      <c r="N55" s="4"/>
      <c r="O55" s="4"/>
      <c r="P55" s="5">
        <f t="shared" si="33"/>
        <v>0</v>
      </c>
      <c r="Q55" s="9" t="str">
        <f t="shared" si="34"/>
        <v/>
      </c>
      <c r="R55" s="4"/>
      <c r="S55" s="4"/>
      <c r="T55" s="5">
        <f t="shared" si="35"/>
        <v>0</v>
      </c>
      <c r="U55" s="9" t="str">
        <f t="shared" si="36"/>
        <v/>
      </c>
      <c r="V55" s="4"/>
      <c r="W55" s="4"/>
      <c r="X55" s="5">
        <f t="shared" si="37"/>
        <v>0</v>
      </c>
      <c r="Y55" s="9" t="str">
        <f t="shared" si="38"/>
        <v/>
      </c>
      <c r="Z55" s="4"/>
      <c r="AA55" s="4"/>
      <c r="AB55" s="5">
        <f t="shared" si="39"/>
        <v>0</v>
      </c>
      <c r="AC55" s="9" t="str">
        <f t="shared" si="40"/>
        <v/>
      </c>
      <c r="AD55" s="4"/>
      <c r="AE55" s="4"/>
      <c r="AF55" s="5">
        <f t="shared" si="41"/>
        <v>0</v>
      </c>
      <c r="AG55" s="9" t="str">
        <f t="shared" si="42"/>
        <v/>
      </c>
      <c r="AH55" s="4"/>
      <c r="AI55" s="4"/>
      <c r="AJ55" s="5">
        <f t="shared" si="43"/>
        <v>0</v>
      </c>
      <c r="AK55" s="9" t="str">
        <f t="shared" si="44"/>
        <v/>
      </c>
      <c r="AL55" s="107"/>
      <c r="AM55" s="107"/>
      <c r="AN55" s="108">
        <f t="shared" si="45"/>
        <v>0</v>
      </c>
      <c r="AO55" s="109" t="str">
        <f t="shared" si="46"/>
        <v/>
      </c>
      <c r="AP55" s="5">
        <f>-20</f>
        <v>-20</v>
      </c>
      <c r="AQ55" s="4"/>
      <c r="AR55" s="5">
        <f t="shared" si="47"/>
        <v>-20</v>
      </c>
      <c r="AS55" s="9" t="str">
        <f t="shared" si="48"/>
        <v/>
      </c>
      <c r="AT55" s="5">
        <f>2.81</f>
        <v>2.81</v>
      </c>
      <c r="AU55" s="4"/>
      <c r="AV55" s="5">
        <f t="shared" si="49"/>
        <v>2.81</v>
      </c>
      <c r="AW55" s="9" t="str">
        <f t="shared" si="50"/>
        <v/>
      </c>
      <c r="AX55" s="5">
        <f t="shared" si="51"/>
        <v>-17.190000000000001</v>
      </c>
      <c r="AY55" s="5">
        <v>0</v>
      </c>
      <c r="AZ55" s="5">
        <f t="shared" si="52"/>
        <v>-17.190000000000001</v>
      </c>
      <c r="BA55" s="9" t="str">
        <f t="shared" si="53"/>
        <v/>
      </c>
    </row>
    <row r="56" spans="1:53" x14ac:dyDescent="0.25">
      <c r="A56" s="3" t="s">
        <v>209</v>
      </c>
      <c r="B56" s="7">
        <f>((((((((((((((((((B37)+(B38))+(B39))+(B40))+(B41))+(B42))+(B43))+(B44))+(B45))+(B46))+(B47))+(B48))+(B49))+(B50))+(B51))+(B52))+(B53))+(B54))+(B55)</f>
        <v>405122.85</v>
      </c>
      <c r="C56" s="7">
        <f>((((((((((((((((((C37)+(C38))+(C39))+(C40))+(C41))+(C42))+(C43))+(C44))+(C45))+(C46))+(C47))+(C48))+(C49))+(C50))+(C51))+(C52))+(C53))+(C54))+(C55)</f>
        <v>395021.07000000007</v>
      </c>
      <c r="D56" s="7">
        <f t="shared" si="27"/>
        <v>10101.779999999912</v>
      </c>
      <c r="E56" s="8">
        <f t="shared" si="28"/>
        <v>1.0255727624858084</v>
      </c>
      <c r="F56" s="7">
        <f>((((((((((((((((((F37)+(F38))+(F39))+(F40))+(F41))+(F42))+(F43))+(F44))+(F45))+(F46))+(F47))+(F48))+(F49))+(F50))+(F51))+(F52))+(F53))+(F54))+(F55)</f>
        <v>333393.28000000003</v>
      </c>
      <c r="G56" s="7">
        <f>((((((((((((((((((G37)+(G38))+(G39))+(G40))+(G41))+(G42))+(G43))+(G44))+(G45))+(G46))+(G47))+(G48))+(G49))+(G50))+(G51))+(G52))+(G53))+(G54))+(G55)</f>
        <v>395021.07000000007</v>
      </c>
      <c r="H56" s="7">
        <f t="shared" si="29"/>
        <v>-61627.790000000037</v>
      </c>
      <c r="I56" s="8">
        <f t="shared" si="30"/>
        <v>0.84398860040554291</v>
      </c>
      <c r="J56" s="7">
        <f>((((((((((((((((((J37)+(J38))+(J39))+(J40))+(J41))+(J42))+(J43))+(J44))+(J45))+(J46))+(J47))+(J48))+(J49))+(J50))+(J51))+(J52))+(J53))+(J54))+(J55)</f>
        <v>334945.16000000003</v>
      </c>
      <c r="K56" s="7">
        <f>((((((((((((((((((K37)+(K38))+(K39))+(K40))+(K41))+(K42))+(K43))+(K44))+(K45))+(K46))+(K47))+(K48))+(K49))+(K50))+(K51))+(K52))+(K53))+(K54))+(K55)</f>
        <v>395021.07000000007</v>
      </c>
      <c r="L56" s="7">
        <f t="shared" si="31"/>
        <v>-60075.910000000033</v>
      </c>
      <c r="M56" s="8">
        <f t="shared" si="32"/>
        <v>0.84791720097360879</v>
      </c>
      <c r="N56" s="7">
        <f>((((((((((((((((((N37)+(N38))+(N39))+(N40))+(N41))+(N42))+(N43))+(N44))+(N45))+(N46))+(N47))+(N48))+(N49))+(N50))+(N51))+(N52))+(N53))+(N54))+(N55)</f>
        <v>312414.26</v>
      </c>
      <c r="O56" s="7">
        <f>((((((((((((((((((O37)+(O38))+(O39))+(O40))+(O41))+(O42))+(O43))+(O44))+(O45))+(O46))+(O47))+(O48))+(O49))+(O50))+(O51))+(O52))+(O53))+(O54))+(O55)</f>
        <v>395021.07000000007</v>
      </c>
      <c r="P56" s="7">
        <f t="shared" si="33"/>
        <v>-82606.810000000056</v>
      </c>
      <c r="Q56" s="8">
        <f t="shared" si="34"/>
        <v>0.79087999027494904</v>
      </c>
      <c r="R56" s="7">
        <f>((((((((((((((((((R37)+(R38))+(R39))+(R40))+(R41))+(R42))+(R43))+(R44))+(R45))+(R46))+(R47))+(R48))+(R49))+(R50))+(R51))+(R52))+(R53))+(R54))+(R55)</f>
        <v>274311.97000000003</v>
      </c>
      <c r="S56" s="7">
        <f>((((((((((((((((((S37)+(S38))+(S39))+(S40))+(S41))+(S42))+(S43))+(S44))+(S45))+(S46))+(S47))+(S48))+(S49))+(S50))+(S51))+(S52))+(S53))+(S54))+(S55)</f>
        <v>395021.07000000007</v>
      </c>
      <c r="T56" s="7">
        <f t="shared" si="35"/>
        <v>-120709.10000000003</v>
      </c>
      <c r="U56" s="8">
        <f t="shared" si="36"/>
        <v>0.6944236417566283</v>
      </c>
      <c r="V56" s="7">
        <f>((((((((((((((((((V37)+(V38))+(V39))+(V40))+(V41))+(V42))+(V43))+(V44))+(V45))+(V46))+(V47))+(V48))+(V49))+(V50))+(V51))+(V52))+(V53))+(V54))+(V55)</f>
        <v>297658.39</v>
      </c>
      <c r="W56" s="7">
        <f>((((((((((((((((((W37)+(W38))+(W39))+(W40))+(W41))+(W42))+(W43))+(W44))+(W45))+(W46))+(W47))+(W48))+(W49))+(W50))+(W51))+(W52))+(W53))+(W54))+(W55)</f>
        <v>395021.07000000007</v>
      </c>
      <c r="X56" s="7">
        <f t="shared" si="37"/>
        <v>-97362.680000000051</v>
      </c>
      <c r="Y56" s="8">
        <f t="shared" si="38"/>
        <v>0.75352534992627096</v>
      </c>
      <c r="Z56" s="7">
        <f>((((((((((((((((((Z37)+(Z38))+(Z39))+(Z40))+(Z41))+(Z42))+(Z43))+(Z44))+(Z45))+(Z46))+(Z47))+(Z48))+(Z49))+(Z50))+(Z51))+(Z52))+(Z53))+(Z54))+(Z55)</f>
        <v>462031.09</v>
      </c>
      <c r="AA56" s="7">
        <f>((((((((((((((((((AA37)+(AA38))+(AA39))+(AA40))+(AA41))+(AA42))+(AA43))+(AA44))+(AA45))+(AA46))+(AA47))+(AA48))+(AA49))+(AA50))+(AA51))+(AA52))+(AA53))+(AA54))+(AA55)</f>
        <v>397057.48</v>
      </c>
      <c r="AB56" s="7">
        <f t="shared" si="39"/>
        <v>64973.610000000044</v>
      </c>
      <c r="AC56" s="8">
        <f t="shared" si="40"/>
        <v>1.1636377937018088</v>
      </c>
      <c r="AD56" s="7">
        <f>((((((((((((((((((AD37)+(AD38))+(AD39))+(AD40))+(AD41))+(AD42))+(AD43))+(AD44))+(AD45))+(AD46))+(AD47))+(AD48))+(AD49))+(AD50))+(AD51))+(AD52))+(AD53))+(AD54))+(AD55)</f>
        <v>270222.87</v>
      </c>
      <c r="AE56" s="7">
        <f>((((((((((((((((((AE37)+(AE38))+(AE39))+(AE40))+(AE41))+(AE42))+(AE43))+(AE44))+(AE45))+(AE46))+(AE47))+(AE48))+(AE49))+(AE50))+(AE51))+(AE52))+(AE53))+(AE54))+(AE55)</f>
        <v>397057.48</v>
      </c>
      <c r="AF56" s="7">
        <f t="shared" si="41"/>
        <v>-126834.60999999999</v>
      </c>
      <c r="AG56" s="8">
        <f t="shared" si="42"/>
        <v>0.68056360504781321</v>
      </c>
      <c r="AH56" s="7">
        <f>((((((((((((((((((AH37)+(AH38))+(AH39))+(AH40))+(AH41))+(AH42))+(AH43))+(AH44))+(AH45))+(AH46))+(AH47))+(AH48))+(AH49))+(AH50))+(AH51))+(AH52))+(AH53))+(AH54))+(AH55)</f>
        <v>362983.81</v>
      </c>
      <c r="AI56" s="7">
        <f>((((((((((((((((((AI37)+(AI38))+(AI39))+(AI40))+(AI41))+(AI42))+(AI43))+(AI44))+(AI45))+(AI46))+(AI47))+(AI48))+(AI49))+(AI50))+(AI51))+(AI52))+(AI53))+(AI54))+(AI55)</f>
        <v>397057.48</v>
      </c>
      <c r="AJ56" s="7">
        <f t="shared" si="43"/>
        <v>-34073.669999999984</v>
      </c>
      <c r="AK56" s="8">
        <f t="shared" si="44"/>
        <v>0.91418454073702382</v>
      </c>
      <c r="AL56" s="110">
        <f>((((((((((((((((((AL37)+(AL38))+(AL39))+(AL40))+(AL41))+(AL42))+(AL43))+(AL44))+(AL45))+(AL46))+(AL47))+(AL48))+(AL49))+(AL50))+(AL51))+(AL52))+(AL53))+(AL54))+(AL55)</f>
        <v>265203.52999999997</v>
      </c>
      <c r="AM56" s="110">
        <f>((((((((((((((((((AM37)+(AM38))+(AM39))+(AM40))+(AM41))+(AM42))+(AM43))+(AM44))+(AM45))+(AM46))+(AM47))+(AM48))+(AM49))+(AM50))+(AM51))+(AM52))+(AM53))+(AM54))+(AM55)</f>
        <v>397057.18</v>
      </c>
      <c r="AN56" s="110">
        <f t="shared" si="45"/>
        <v>-131853.65000000002</v>
      </c>
      <c r="AO56" s="111">
        <f t="shared" si="46"/>
        <v>0.66792276618697588</v>
      </c>
      <c r="AP56" s="7">
        <f>((((((((((((((((((AP37)+(AP38))+(AP39))+(AP40))+(AP41))+(AP42))+(AP43))+(AP44))+(AP45))+(AP46))+(AP47))+(AP48))+(AP49))+(AP50))+(AP51))+(AP52))+(AP53))+(AP54))+(AP55)</f>
        <v>111528.3</v>
      </c>
      <c r="AQ56" s="7">
        <f>((((((((((((((((((AQ37)+(AQ38))+(AQ39))+(AQ40))+(AQ41))+(AQ42))+(AQ43))+(AQ44))+(AQ45))+(AQ46))+(AQ47))+(AQ48))+(AQ49))+(AQ50))+(AQ51))+(AQ52))+(AQ53))+(AQ54))+(AQ55)</f>
        <v>397057.23000000004</v>
      </c>
      <c r="AR56" s="7">
        <f t="shared" si="47"/>
        <v>-285528.93000000005</v>
      </c>
      <c r="AS56" s="8">
        <f t="shared" si="48"/>
        <v>0.28088721618291645</v>
      </c>
      <c r="AT56" s="7">
        <f>((((((((((((((((((AT37)+(AT38))+(AT39))+(AT40))+(AT41))+(AT42))+(AT43))+(AT44))+(AT45))+(AT46))+(AT47))+(AT48))+(AT49))+(AT50))+(AT51))+(AT52))+(AT53))+(AT54))+(AT55)</f>
        <v>4357.8100000000004</v>
      </c>
      <c r="AU56" s="7">
        <f>((((((((((((((((((AU37)+(AU38))+(AU39))+(AU40))+(AU41))+(AU42))+(AU43))+(AU44))+(AU45))+(AU46))+(AU47))+(AU48))+(AU49))+(AU50))+(AU51))+(AU52))+(AU53))+(AU54))+(AU55)</f>
        <v>472396.73000000004</v>
      </c>
      <c r="AV56" s="7">
        <f t="shared" si="49"/>
        <v>-468038.92000000004</v>
      </c>
      <c r="AW56" s="8">
        <f t="shared" si="50"/>
        <v>9.2248945076313302E-3</v>
      </c>
      <c r="AX56" s="7">
        <f t="shared" si="51"/>
        <v>3434173.32</v>
      </c>
      <c r="AY56" s="7">
        <v>4827810.0000000009</v>
      </c>
      <c r="AZ56" s="7">
        <f t="shared" si="52"/>
        <v>-1393636.6800000011</v>
      </c>
      <c r="BA56" s="8">
        <f t="shared" si="53"/>
        <v>0.71133149813269358</v>
      </c>
    </row>
    <row r="57" spans="1:53" x14ac:dyDescent="0.25">
      <c r="A57" s="3" t="s">
        <v>208</v>
      </c>
      <c r="B57" s="4"/>
      <c r="C57" s="4"/>
      <c r="D57" s="5">
        <f t="shared" si="27"/>
        <v>0</v>
      </c>
      <c r="E57" s="9" t="str">
        <f t="shared" si="28"/>
        <v/>
      </c>
      <c r="F57" s="4"/>
      <c r="G57" s="4"/>
      <c r="H57" s="5">
        <f t="shared" si="29"/>
        <v>0</v>
      </c>
      <c r="I57" s="9" t="str">
        <f t="shared" si="30"/>
        <v/>
      </c>
      <c r="J57" s="4"/>
      <c r="K57" s="4"/>
      <c r="L57" s="5">
        <f t="shared" si="31"/>
        <v>0</v>
      </c>
      <c r="M57" s="9" t="str">
        <f t="shared" si="32"/>
        <v/>
      </c>
      <c r="N57" s="4"/>
      <c r="O57" s="4"/>
      <c r="P57" s="5">
        <f t="shared" si="33"/>
        <v>0</v>
      </c>
      <c r="Q57" s="9" t="str">
        <f t="shared" si="34"/>
        <v/>
      </c>
      <c r="R57" s="4"/>
      <c r="S57" s="4"/>
      <c r="T57" s="5">
        <f t="shared" si="35"/>
        <v>0</v>
      </c>
      <c r="U57" s="9" t="str">
        <f t="shared" si="36"/>
        <v/>
      </c>
      <c r="V57" s="4"/>
      <c r="W57" s="4"/>
      <c r="X57" s="5">
        <f t="shared" si="37"/>
        <v>0</v>
      </c>
      <c r="Y57" s="9" t="str">
        <f t="shared" si="38"/>
        <v/>
      </c>
      <c r="Z57" s="4"/>
      <c r="AA57" s="4"/>
      <c r="AB57" s="5">
        <f t="shared" si="39"/>
        <v>0</v>
      </c>
      <c r="AC57" s="9" t="str">
        <f t="shared" si="40"/>
        <v/>
      </c>
      <c r="AD57" s="4"/>
      <c r="AE57" s="4"/>
      <c r="AF57" s="5">
        <f t="shared" si="41"/>
        <v>0</v>
      </c>
      <c r="AG57" s="9" t="str">
        <f t="shared" si="42"/>
        <v/>
      </c>
      <c r="AH57" s="4"/>
      <c r="AI57" s="4"/>
      <c r="AJ57" s="5">
        <f t="shared" si="43"/>
        <v>0</v>
      </c>
      <c r="AK57" s="9" t="str">
        <f t="shared" si="44"/>
        <v/>
      </c>
      <c r="AL57" s="107"/>
      <c r="AM57" s="107"/>
      <c r="AN57" s="108">
        <f t="shared" si="45"/>
        <v>0</v>
      </c>
      <c r="AO57" s="109" t="str">
        <f t="shared" si="46"/>
        <v/>
      </c>
      <c r="AP57" s="4"/>
      <c r="AQ57" s="4"/>
      <c r="AR57" s="5">
        <f t="shared" si="47"/>
        <v>0</v>
      </c>
      <c r="AS57" s="9" t="str">
        <f t="shared" si="48"/>
        <v/>
      </c>
      <c r="AT57" s="4"/>
      <c r="AU57" s="4"/>
      <c r="AV57" s="5">
        <f t="shared" si="49"/>
        <v>0</v>
      </c>
      <c r="AW57" s="9" t="str">
        <f t="shared" si="50"/>
        <v/>
      </c>
      <c r="AX57" s="5">
        <f t="shared" si="51"/>
        <v>0</v>
      </c>
      <c r="AY57" s="5">
        <v>0</v>
      </c>
      <c r="AZ57" s="5">
        <f t="shared" si="52"/>
        <v>0</v>
      </c>
      <c r="BA57" s="9" t="str">
        <f t="shared" si="53"/>
        <v/>
      </c>
    </row>
    <row r="58" spans="1:53" x14ac:dyDescent="0.25">
      <c r="A58" s="3" t="s">
        <v>207</v>
      </c>
      <c r="B58" s="5">
        <f>6287.52</f>
        <v>6287.52</v>
      </c>
      <c r="C58" s="5">
        <f>4705.33</f>
        <v>4705.33</v>
      </c>
      <c r="D58" s="5">
        <f t="shared" si="27"/>
        <v>1582.1900000000005</v>
      </c>
      <c r="E58" s="9">
        <f t="shared" si="28"/>
        <v>1.336254842912187</v>
      </c>
      <c r="F58" s="5">
        <f>846.67</f>
        <v>846.67</v>
      </c>
      <c r="G58" s="5">
        <f>4705.33</f>
        <v>4705.33</v>
      </c>
      <c r="H58" s="5">
        <f t="shared" si="29"/>
        <v>-3858.66</v>
      </c>
      <c r="I58" s="9">
        <f t="shared" si="30"/>
        <v>0.1799384952808836</v>
      </c>
      <c r="J58" s="5">
        <f>1693.34</f>
        <v>1693.34</v>
      </c>
      <c r="K58" s="5">
        <f>4705.33</f>
        <v>4705.33</v>
      </c>
      <c r="L58" s="5">
        <f t="shared" si="31"/>
        <v>-3011.99</v>
      </c>
      <c r="M58" s="9">
        <f t="shared" si="32"/>
        <v>0.3598769905617672</v>
      </c>
      <c r="N58" s="5">
        <f>4202.5</f>
        <v>4202.5</v>
      </c>
      <c r="O58" s="5">
        <f>4705.33</f>
        <v>4705.33</v>
      </c>
      <c r="P58" s="5">
        <f t="shared" si="33"/>
        <v>-502.82999999999993</v>
      </c>
      <c r="Q58" s="9">
        <f t="shared" si="34"/>
        <v>0.89313608184760684</v>
      </c>
      <c r="R58" s="5">
        <f>4202.5</f>
        <v>4202.5</v>
      </c>
      <c r="S58" s="5">
        <f>4705.33</f>
        <v>4705.33</v>
      </c>
      <c r="T58" s="5">
        <f t="shared" si="35"/>
        <v>-502.82999999999993</v>
      </c>
      <c r="U58" s="9">
        <f t="shared" si="36"/>
        <v>0.89313608184760684</v>
      </c>
      <c r="V58" s="5">
        <f>4202.5</f>
        <v>4202.5</v>
      </c>
      <c r="W58" s="5">
        <f>4705.33</f>
        <v>4705.33</v>
      </c>
      <c r="X58" s="5">
        <f t="shared" si="37"/>
        <v>-502.82999999999993</v>
      </c>
      <c r="Y58" s="9">
        <f t="shared" si="38"/>
        <v>0.89313608184760684</v>
      </c>
      <c r="Z58" s="5">
        <f>6231.93</f>
        <v>6231.93</v>
      </c>
      <c r="AA58" s="5">
        <f>4705.33</f>
        <v>4705.33</v>
      </c>
      <c r="AB58" s="5">
        <f t="shared" si="39"/>
        <v>1526.6000000000004</v>
      </c>
      <c r="AC58" s="9">
        <f t="shared" si="40"/>
        <v>1.3244405812132201</v>
      </c>
      <c r="AD58" s="5">
        <f>4202.5</f>
        <v>4202.5</v>
      </c>
      <c r="AE58" s="5">
        <f>4705.33</f>
        <v>4705.33</v>
      </c>
      <c r="AF58" s="5">
        <f t="shared" si="41"/>
        <v>-502.82999999999993</v>
      </c>
      <c r="AG58" s="9">
        <f t="shared" si="42"/>
        <v>0.89313608184760684</v>
      </c>
      <c r="AH58" s="5">
        <f>5217.21</f>
        <v>5217.21</v>
      </c>
      <c r="AI58" s="5">
        <f>4705.33</f>
        <v>4705.33</v>
      </c>
      <c r="AJ58" s="5">
        <f t="shared" si="43"/>
        <v>511.88000000000011</v>
      </c>
      <c r="AK58" s="9">
        <f t="shared" si="44"/>
        <v>1.1087872689056879</v>
      </c>
      <c r="AL58" s="108">
        <f>4202.5</f>
        <v>4202.5</v>
      </c>
      <c r="AM58" s="108">
        <f>4705.33</f>
        <v>4705.33</v>
      </c>
      <c r="AN58" s="108">
        <f t="shared" si="45"/>
        <v>-502.82999999999993</v>
      </c>
      <c r="AO58" s="109">
        <f t="shared" si="46"/>
        <v>0.89313608184760684</v>
      </c>
      <c r="AP58" s="4"/>
      <c r="AQ58" s="5">
        <f>4705.33</f>
        <v>4705.33</v>
      </c>
      <c r="AR58" s="5">
        <f t="shared" si="47"/>
        <v>-4705.33</v>
      </c>
      <c r="AS58" s="9">
        <f t="shared" si="48"/>
        <v>0</v>
      </c>
      <c r="AT58" s="4"/>
      <c r="AU58" s="5">
        <f>4705.37</f>
        <v>4705.37</v>
      </c>
      <c r="AV58" s="5">
        <f t="shared" si="49"/>
        <v>-4705.37</v>
      </c>
      <c r="AW58" s="9">
        <f t="shared" si="50"/>
        <v>0</v>
      </c>
      <c r="AX58" s="5">
        <f t="shared" si="51"/>
        <v>41289.17</v>
      </c>
      <c r="AY58" s="5">
        <v>56464.000000000015</v>
      </c>
      <c r="AZ58" s="5">
        <f t="shared" si="52"/>
        <v>-15174.830000000016</v>
      </c>
      <c r="BA58" s="9">
        <f t="shared" si="53"/>
        <v>0.73124769764805875</v>
      </c>
    </row>
    <row r="59" spans="1:53" x14ac:dyDescent="0.25">
      <c r="A59" s="3" t="s">
        <v>206</v>
      </c>
      <c r="B59" s="4"/>
      <c r="C59" s="5">
        <f>0</f>
        <v>0</v>
      </c>
      <c r="D59" s="5">
        <f t="shared" si="27"/>
        <v>0</v>
      </c>
      <c r="E59" s="9" t="str">
        <f t="shared" si="28"/>
        <v/>
      </c>
      <c r="F59" s="4"/>
      <c r="G59" s="5">
        <f>0</f>
        <v>0</v>
      </c>
      <c r="H59" s="5">
        <f t="shared" si="29"/>
        <v>0</v>
      </c>
      <c r="I59" s="9" t="str">
        <f t="shared" si="30"/>
        <v/>
      </c>
      <c r="J59" s="4"/>
      <c r="K59" s="5">
        <f>0</f>
        <v>0</v>
      </c>
      <c r="L59" s="5">
        <f t="shared" si="31"/>
        <v>0</v>
      </c>
      <c r="M59" s="9" t="str">
        <f t="shared" si="32"/>
        <v/>
      </c>
      <c r="N59" s="4"/>
      <c r="O59" s="5">
        <f>0</f>
        <v>0</v>
      </c>
      <c r="P59" s="5">
        <f t="shared" si="33"/>
        <v>0</v>
      </c>
      <c r="Q59" s="9" t="str">
        <f t="shared" si="34"/>
        <v/>
      </c>
      <c r="R59" s="4"/>
      <c r="S59" s="5">
        <f>0</f>
        <v>0</v>
      </c>
      <c r="T59" s="5">
        <f t="shared" si="35"/>
        <v>0</v>
      </c>
      <c r="U59" s="9" t="str">
        <f t="shared" si="36"/>
        <v/>
      </c>
      <c r="V59" s="4"/>
      <c r="W59" s="5">
        <f>0</f>
        <v>0</v>
      </c>
      <c r="X59" s="5">
        <f t="shared" si="37"/>
        <v>0</v>
      </c>
      <c r="Y59" s="9" t="str">
        <f t="shared" si="38"/>
        <v/>
      </c>
      <c r="Z59" s="4"/>
      <c r="AA59" s="5">
        <f>0</f>
        <v>0</v>
      </c>
      <c r="AB59" s="5">
        <f t="shared" si="39"/>
        <v>0</v>
      </c>
      <c r="AC59" s="9" t="str">
        <f t="shared" si="40"/>
        <v/>
      </c>
      <c r="AD59" s="4"/>
      <c r="AE59" s="5">
        <f>6090.8</f>
        <v>6090.8</v>
      </c>
      <c r="AF59" s="5">
        <f t="shared" si="41"/>
        <v>-6090.8</v>
      </c>
      <c r="AG59" s="9">
        <f t="shared" si="42"/>
        <v>0</v>
      </c>
      <c r="AH59" s="4"/>
      <c r="AI59" s="5">
        <f>6090.8</f>
        <v>6090.8</v>
      </c>
      <c r="AJ59" s="5">
        <f t="shared" si="43"/>
        <v>-6090.8</v>
      </c>
      <c r="AK59" s="9">
        <f t="shared" si="44"/>
        <v>0</v>
      </c>
      <c r="AL59" s="107"/>
      <c r="AM59" s="108">
        <f>6090.8</f>
        <v>6090.8</v>
      </c>
      <c r="AN59" s="108">
        <f t="shared" si="45"/>
        <v>-6090.8</v>
      </c>
      <c r="AO59" s="109">
        <f t="shared" si="46"/>
        <v>0</v>
      </c>
      <c r="AP59" s="4"/>
      <c r="AQ59" s="5">
        <f>6090.8</f>
        <v>6090.8</v>
      </c>
      <c r="AR59" s="5">
        <f t="shared" si="47"/>
        <v>-6090.8</v>
      </c>
      <c r="AS59" s="9">
        <f t="shared" si="48"/>
        <v>0</v>
      </c>
      <c r="AT59" s="4"/>
      <c r="AU59" s="5">
        <f>6090.8</f>
        <v>6090.8</v>
      </c>
      <c r="AV59" s="5">
        <f t="shared" si="49"/>
        <v>-6090.8</v>
      </c>
      <c r="AW59" s="9">
        <f t="shared" si="50"/>
        <v>0</v>
      </c>
      <c r="AX59" s="5">
        <f t="shared" si="51"/>
        <v>0</v>
      </c>
      <c r="AY59" s="5">
        <v>30454</v>
      </c>
      <c r="AZ59" s="5">
        <f t="shared" si="52"/>
        <v>-30454</v>
      </c>
      <c r="BA59" s="9">
        <f t="shared" si="53"/>
        <v>0</v>
      </c>
    </row>
    <row r="60" spans="1:53" x14ac:dyDescent="0.25">
      <c r="A60" s="3" t="s">
        <v>205</v>
      </c>
      <c r="B60" s="4"/>
      <c r="C60" s="4"/>
      <c r="D60" s="5">
        <f t="shared" si="27"/>
        <v>0</v>
      </c>
      <c r="E60" s="9" t="str">
        <f t="shared" si="28"/>
        <v/>
      </c>
      <c r="F60" s="4"/>
      <c r="G60" s="4"/>
      <c r="H60" s="5">
        <f t="shared" si="29"/>
        <v>0</v>
      </c>
      <c r="I60" s="9" t="str">
        <f t="shared" si="30"/>
        <v/>
      </c>
      <c r="J60" s="4"/>
      <c r="K60" s="4"/>
      <c r="L60" s="5">
        <f t="shared" si="31"/>
        <v>0</v>
      </c>
      <c r="M60" s="9" t="str">
        <f t="shared" si="32"/>
        <v/>
      </c>
      <c r="N60" s="4"/>
      <c r="O60" s="4"/>
      <c r="P60" s="5">
        <f t="shared" si="33"/>
        <v>0</v>
      </c>
      <c r="Q60" s="9" t="str">
        <f t="shared" si="34"/>
        <v/>
      </c>
      <c r="R60" s="4"/>
      <c r="S60" s="4"/>
      <c r="T60" s="5">
        <f t="shared" si="35"/>
        <v>0</v>
      </c>
      <c r="U60" s="9" t="str">
        <f t="shared" si="36"/>
        <v/>
      </c>
      <c r="V60" s="4"/>
      <c r="W60" s="4"/>
      <c r="X60" s="5">
        <f t="shared" si="37"/>
        <v>0</v>
      </c>
      <c r="Y60" s="9" t="str">
        <f t="shared" si="38"/>
        <v/>
      </c>
      <c r="Z60" s="4"/>
      <c r="AA60" s="4"/>
      <c r="AB60" s="5">
        <f t="shared" si="39"/>
        <v>0</v>
      </c>
      <c r="AC60" s="9" t="str">
        <f t="shared" si="40"/>
        <v/>
      </c>
      <c r="AD60" s="5">
        <f>30220.3</f>
        <v>30220.3</v>
      </c>
      <c r="AE60" s="4"/>
      <c r="AF60" s="5">
        <f t="shared" si="41"/>
        <v>30220.3</v>
      </c>
      <c r="AG60" s="9" t="str">
        <f t="shared" si="42"/>
        <v/>
      </c>
      <c r="AH60" s="4"/>
      <c r="AI60" s="4"/>
      <c r="AJ60" s="5">
        <f t="shared" si="43"/>
        <v>0</v>
      </c>
      <c r="AK60" s="9" t="str">
        <f t="shared" si="44"/>
        <v/>
      </c>
      <c r="AL60" s="107"/>
      <c r="AM60" s="107"/>
      <c r="AN60" s="108">
        <f t="shared" si="45"/>
        <v>0</v>
      </c>
      <c r="AO60" s="109" t="str">
        <f t="shared" si="46"/>
        <v/>
      </c>
      <c r="AP60" s="4"/>
      <c r="AQ60" s="4"/>
      <c r="AR60" s="5">
        <f t="shared" si="47"/>
        <v>0</v>
      </c>
      <c r="AS60" s="9" t="str">
        <f t="shared" si="48"/>
        <v/>
      </c>
      <c r="AT60" s="4"/>
      <c r="AU60" s="4"/>
      <c r="AV60" s="5">
        <f t="shared" si="49"/>
        <v>0</v>
      </c>
      <c r="AW60" s="9" t="str">
        <f t="shared" si="50"/>
        <v/>
      </c>
      <c r="AX60" s="5">
        <f t="shared" si="51"/>
        <v>30220.3</v>
      </c>
      <c r="AY60" s="5">
        <v>0</v>
      </c>
      <c r="AZ60" s="5">
        <f t="shared" si="52"/>
        <v>30220.3</v>
      </c>
      <c r="BA60" s="9" t="str">
        <f t="shared" si="53"/>
        <v/>
      </c>
    </row>
    <row r="61" spans="1:53" x14ac:dyDescent="0.25">
      <c r="A61" s="3" t="s">
        <v>204</v>
      </c>
      <c r="B61" s="4"/>
      <c r="C61" s="4"/>
      <c r="D61" s="5">
        <f t="shared" si="27"/>
        <v>0</v>
      </c>
      <c r="E61" s="9" t="str">
        <f t="shared" si="28"/>
        <v/>
      </c>
      <c r="F61" s="4"/>
      <c r="G61" s="4"/>
      <c r="H61" s="5">
        <f t="shared" si="29"/>
        <v>0</v>
      </c>
      <c r="I61" s="9" t="str">
        <f t="shared" si="30"/>
        <v/>
      </c>
      <c r="J61" s="4"/>
      <c r="K61" s="4"/>
      <c r="L61" s="5">
        <f t="shared" si="31"/>
        <v>0</v>
      </c>
      <c r="M61" s="9" t="str">
        <f t="shared" si="32"/>
        <v/>
      </c>
      <c r="N61" s="4"/>
      <c r="O61" s="4"/>
      <c r="P61" s="5">
        <f t="shared" si="33"/>
        <v>0</v>
      </c>
      <c r="Q61" s="9" t="str">
        <f t="shared" si="34"/>
        <v/>
      </c>
      <c r="R61" s="4"/>
      <c r="S61" s="4"/>
      <c r="T61" s="5">
        <f t="shared" si="35"/>
        <v>0</v>
      </c>
      <c r="U61" s="9" t="str">
        <f t="shared" si="36"/>
        <v/>
      </c>
      <c r="V61" s="4"/>
      <c r="W61" s="4"/>
      <c r="X61" s="5">
        <f t="shared" si="37"/>
        <v>0</v>
      </c>
      <c r="Y61" s="9" t="str">
        <f t="shared" si="38"/>
        <v/>
      </c>
      <c r="Z61" s="4"/>
      <c r="AA61" s="4"/>
      <c r="AB61" s="5">
        <f t="shared" si="39"/>
        <v>0</v>
      </c>
      <c r="AC61" s="9" t="str">
        <f t="shared" si="40"/>
        <v/>
      </c>
      <c r="AD61" s="4"/>
      <c r="AE61" s="4"/>
      <c r="AF61" s="5">
        <f t="shared" si="41"/>
        <v>0</v>
      </c>
      <c r="AG61" s="9" t="str">
        <f t="shared" si="42"/>
        <v/>
      </c>
      <c r="AH61" s="4"/>
      <c r="AI61" s="4"/>
      <c r="AJ61" s="5">
        <f t="shared" si="43"/>
        <v>0</v>
      </c>
      <c r="AK61" s="9" t="str">
        <f t="shared" si="44"/>
        <v/>
      </c>
      <c r="AL61" s="108">
        <f>-442.16</f>
        <v>-442.16</v>
      </c>
      <c r="AM61" s="107"/>
      <c r="AN61" s="108">
        <f t="shared" si="45"/>
        <v>-442.16</v>
      </c>
      <c r="AO61" s="109" t="str">
        <f t="shared" si="46"/>
        <v/>
      </c>
      <c r="AP61" s="4"/>
      <c r="AQ61" s="4"/>
      <c r="AR61" s="5">
        <f t="shared" si="47"/>
        <v>0</v>
      </c>
      <c r="AS61" s="9" t="str">
        <f t="shared" si="48"/>
        <v/>
      </c>
      <c r="AT61" s="4"/>
      <c r="AU61" s="4"/>
      <c r="AV61" s="5">
        <f t="shared" si="49"/>
        <v>0</v>
      </c>
      <c r="AW61" s="9" t="str">
        <f t="shared" si="50"/>
        <v/>
      </c>
      <c r="AX61" s="5">
        <f t="shared" si="51"/>
        <v>-442.16</v>
      </c>
      <c r="AY61" s="5">
        <v>0</v>
      </c>
      <c r="AZ61" s="5">
        <f t="shared" si="52"/>
        <v>-442.16</v>
      </c>
      <c r="BA61" s="9" t="str">
        <f t="shared" si="53"/>
        <v/>
      </c>
    </row>
    <row r="62" spans="1:53" x14ac:dyDescent="0.25">
      <c r="A62" s="3" t="s">
        <v>203</v>
      </c>
      <c r="B62" s="5">
        <f>1126.5</f>
        <v>1126.5</v>
      </c>
      <c r="C62" s="5">
        <f>1166.66</f>
        <v>1166.6600000000001</v>
      </c>
      <c r="D62" s="5">
        <f t="shared" si="27"/>
        <v>-40.160000000000082</v>
      </c>
      <c r="E62" s="9">
        <f t="shared" si="28"/>
        <v>0.96557694615397793</v>
      </c>
      <c r="F62" s="4"/>
      <c r="G62" s="5">
        <f>1166.66</f>
        <v>1166.6600000000001</v>
      </c>
      <c r="H62" s="5">
        <f t="shared" si="29"/>
        <v>-1166.6600000000001</v>
      </c>
      <c r="I62" s="9">
        <f t="shared" si="30"/>
        <v>0</v>
      </c>
      <c r="J62" s="5">
        <f>300</f>
        <v>300</v>
      </c>
      <c r="K62" s="5">
        <f>1166.66</f>
        <v>1166.6600000000001</v>
      </c>
      <c r="L62" s="5">
        <f t="shared" si="31"/>
        <v>-866.66000000000008</v>
      </c>
      <c r="M62" s="9">
        <f t="shared" si="32"/>
        <v>0.25714432653900876</v>
      </c>
      <c r="N62" s="5">
        <f>859.2</f>
        <v>859.2</v>
      </c>
      <c r="O62" s="5">
        <f>1166.66</f>
        <v>1166.6600000000001</v>
      </c>
      <c r="P62" s="5">
        <f t="shared" si="33"/>
        <v>-307.46000000000004</v>
      </c>
      <c r="Q62" s="9">
        <f t="shared" si="34"/>
        <v>0.73646135120772116</v>
      </c>
      <c r="R62" s="5">
        <f>3220</f>
        <v>3220</v>
      </c>
      <c r="S62" s="5">
        <f>1166.66</f>
        <v>1166.6600000000001</v>
      </c>
      <c r="T62" s="5">
        <f t="shared" si="35"/>
        <v>2053.34</v>
      </c>
      <c r="U62" s="9">
        <f t="shared" si="36"/>
        <v>2.7600157715186944</v>
      </c>
      <c r="V62" s="5">
        <f>2600</f>
        <v>2600</v>
      </c>
      <c r="W62" s="5">
        <f>1166.66</f>
        <v>1166.6600000000001</v>
      </c>
      <c r="X62" s="5">
        <f t="shared" si="37"/>
        <v>1433.34</v>
      </c>
      <c r="Y62" s="9">
        <f t="shared" si="38"/>
        <v>2.2285841633380761</v>
      </c>
      <c r="Z62" s="5">
        <f>2400</f>
        <v>2400</v>
      </c>
      <c r="AA62" s="5">
        <f>1166.66</f>
        <v>1166.6600000000001</v>
      </c>
      <c r="AB62" s="5">
        <f t="shared" si="39"/>
        <v>1233.3399999999999</v>
      </c>
      <c r="AC62" s="9">
        <f t="shared" si="40"/>
        <v>2.0571546123120701</v>
      </c>
      <c r="AD62" s="5">
        <f>1277.64</f>
        <v>1277.6400000000001</v>
      </c>
      <c r="AE62" s="5">
        <f>1166.66</f>
        <v>1166.6600000000001</v>
      </c>
      <c r="AF62" s="5">
        <f t="shared" si="41"/>
        <v>110.98000000000002</v>
      </c>
      <c r="AG62" s="9">
        <f t="shared" si="42"/>
        <v>1.0951262578643306</v>
      </c>
      <c r="AH62" s="5">
        <f>2313.01</f>
        <v>2313.0100000000002</v>
      </c>
      <c r="AI62" s="5">
        <f>1166.66</f>
        <v>1166.6600000000001</v>
      </c>
      <c r="AJ62" s="5">
        <f t="shared" si="43"/>
        <v>1146.3500000000001</v>
      </c>
      <c r="AK62" s="9">
        <f t="shared" si="44"/>
        <v>1.9825913290933093</v>
      </c>
      <c r="AL62" s="107"/>
      <c r="AM62" s="108">
        <f>1166.68</f>
        <v>1166.68</v>
      </c>
      <c r="AN62" s="108">
        <f t="shared" si="45"/>
        <v>-1166.68</v>
      </c>
      <c r="AO62" s="109">
        <f t="shared" si="46"/>
        <v>0</v>
      </c>
      <c r="AP62" s="4"/>
      <c r="AQ62" s="5">
        <f>1166.68</f>
        <v>1166.68</v>
      </c>
      <c r="AR62" s="5">
        <f t="shared" si="47"/>
        <v>-1166.68</v>
      </c>
      <c r="AS62" s="9">
        <f t="shared" si="48"/>
        <v>0</v>
      </c>
      <c r="AT62" s="4"/>
      <c r="AU62" s="5">
        <f>1166.7</f>
        <v>1166.7</v>
      </c>
      <c r="AV62" s="5">
        <f t="shared" si="49"/>
        <v>-1166.7</v>
      </c>
      <c r="AW62" s="9">
        <f t="shared" si="50"/>
        <v>0</v>
      </c>
      <c r="AX62" s="5">
        <f t="shared" si="51"/>
        <v>14096.35</v>
      </c>
      <c r="AY62" s="5">
        <v>14000.000000000002</v>
      </c>
      <c r="AZ62" s="5">
        <f t="shared" si="52"/>
        <v>96.349999999998545</v>
      </c>
      <c r="BA62" s="9">
        <f t="shared" si="53"/>
        <v>1.0068821428571428</v>
      </c>
    </row>
    <row r="63" spans="1:53" x14ac:dyDescent="0.25">
      <c r="A63" s="3" t="s">
        <v>202</v>
      </c>
      <c r="B63" s="5">
        <f>215.5</f>
        <v>215.5</v>
      </c>
      <c r="C63" s="4"/>
      <c r="D63" s="5">
        <f t="shared" si="27"/>
        <v>215.5</v>
      </c>
      <c r="E63" s="9" t="str">
        <f t="shared" si="28"/>
        <v/>
      </c>
      <c r="F63" s="5">
        <f>5698.28</f>
        <v>5698.28</v>
      </c>
      <c r="G63" s="4"/>
      <c r="H63" s="5">
        <f t="shared" si="29"/>
        <v>5698.28</v>
      </c>
      <c r="I63" s="9" t="str">
        <f t="shared" si="30"/>
        <v/>
      </c>
      <c r="J63" s="5">
        <f>10630.45</f>
        <v>10630.45</v>
      </c>
      <c r="K63" s="4"/>
      <c r="L63" s="5">
        <f t="shared" si="31"/>
        <v>10630.45</v>
      </c>
      <c r="M63" s="9" t="str">
        <f t="shared" si="32"/>
        <v/>
      </c>
      <c r="N63" s="5">
        <f>590.72</f>
        <v>590.72</v>
      </c>
      <c r="O63" s="4"/>
      <c r="P63" s="5">
        <f t="shared" si="33"/>
        <v>590.72</v>
      </c>
      <c r="Q63" s="9" t="str">
        <f t="shared" si="34"/>
        <v/>
      </c>
      <c r="R63" s="5">
        <f>5709.22</f>
        <v>5709.22</v>
      </c>
      <c r="S63" s="4"/>
      <c r="T63" s="5">
        <f t="shared" si="35"/>
        <v>5709.22</v>
      </c>
      <c r="U63" s="9" t="str">
        <f t="shared" si="36"/>
        <v/>
      </c>
      <c r="V63" s="5">
        <f>2512.47</f>
        <v>2512.4699999999998</v>
      </c>
      <c r="W63" s="4"/>
      <c r="X63" s="5">
        <f t="shared" si="37"/>
        <v>2512.4699999999998</v>
      </c>
      <c r="Y63" s="9" t="str">
        <f t="shared" si="38"/>
        <v/>
      </c>
      <c r="Z63" s="5">
        <f>234.54</f>
        <v>234.54</v>
      </c>
      <c r="AA63" s="4"/>
      <c r="AB63" s="5">
        <f t="shared" si="39"/>
        <v>234.54</v>
      </c>
      <c r="AC63" s="9" t="str">
        <f t="shared" si="40"/>
        <v/>
      </c>
      <c r="AD63" s="5">
        <f>1482.08</f>
        <v>1482.08</v>
      </c>
      <c r="AE63" s="4"/>
      <c r="AF63" s="5">
        <f t="shared" si="41"/>
        <v>1482.08</v>
      </c>
      <c r="AG63" s="9" t="str">
        <f t="shared" si="42"/>
        <v/>
      </c>
      <c r="AH63" s="5">
        <f>3225.38</f>
        <v>3225.38</v>
      </c>
      <c r="AI63" s="4"/>
      <c r="AJ63" s="5">
        <f t="shared" si="43"/>
        <v>3225.38</v>
      </c>
      <c r="AK63" s="9" t="str">
        <f t="shared" si="44"/>
        <v/>
      </c>
      <c r="AL63" s="107"/>
      <c r="AM63" s="107"/>
      <c r="AN63" s="108">
        <f t="shared" si="45"/>
        <v>0</v>
      </c>
      <c r="AO63" s="109" t="str">
        <f t="shared" si="46"/>
        <v/>
      </c>
      <c r="AP63" s="5">
        <f>2350.09</f>
        <v>2350.09</v>
      </c>
      <c r="AQ63" s="4"/>
      <c r="AR63" s="5">
        <f t="shared" si="47"/>
        <v>2350.09</v>
      </c>
      <c r="AS63" s="9" t="str">
        <f t="shared" si="48"/>
        <v/>
      </c>
      <c r="AT63" s="4"/>
      <c r="AU63" s="4"/>
      <c r="AV63" s="5">
        <f t="shared" si="49"/>
        <v>0</v>
      </c>
      <c r="AW63" s="9" t="str">
        <f t="shared" si="50"/>
        <v/>
      </c>
      <c r="AX63" s="5">
        <f t="shared" si="51"/>
        <v>32648.730000000003</v>
      </c>
      <c r="AY63" s="5">
        <v>0</v>
      </c>
      <c r="AZ63" s="5">
        <f t="shared" si="52"/>
        <v>32648.730000000003</v>
      </c>
      <c r="BA63" s="9" t="str">
        <f t="shared" si="53"/>
        <v/>
      </c>
    </row>
    <row r="64" spans="1:53" x14ac:dyDescent="0.25">
      <c r="A64" s="3" t="s">
        <v>201</v>
      </c>
      <c r="B64" s="4"/>
      <c r="C64" s="4"/>
      <c r="D64" s="5">
        <f t="shared" si="27"/>
        <v>0</v>
      </c>
      <c r="E64" s="9" t="str">
        <f t="shared" si="28"/>
        <v/>
      </c>
      <c r="F64" s="4"/>
      <c r="G64" s="4"/>
      <c r="H64" s="5">
        <f t="shared" si="29"/>
        <v>0</v>
      </c>
      <c r="I64" s="9" t="str">
        <f t="shared" si="30"/>
        <v/>
      </c>
      <c r="J64" s="4"/>
      <c r="K64" s="4"/>
      <c r="L64" s="5">
        <f t="shared" si="31"/>
        <v>0</v>
      </c>
      <c r="M64" s="9" t="str">
        <f t="shared" si="32"/>
        <v/>
      </c>
      <c r="N64" s="5">
        <f>44.99</f>
        <v>44.99</v>
      </c>
      <c r="O64" s="4"/>
      <c r="P64" s="5">
        <f t="shared" si="33"/>
        <v>44.99</v>
      </c>
      <c r="Q64" s="9" t="str">
        <f t="shared" si="34"/>
        <v/>
      </c>
      <c r="R64" s="5">
        <f>1759</f>
        <v>1759</v>
      </c>
      <c r="S64" s="4"/>
      <c r="T64" s="5">
        <f t="shared" si="35"/>
        <v>1759</v>
      </c>
      <c r="U64" s="9" t="str">
        <f t="shared" si="36"/>
        <v/>
      </c>
      <c r="V64" s="4"/>
      <c r="W64" s="4"/>
      <c r="X64" s="5">
        <f t="shared" si="37"/>
        <v>0</v>
      </c>
      <c r="Y64" s="9" t="str">
        <f t="shared" si="38"/>
        <v/>
      </c>
      <c r="Z64" s="4"/>
      <c r="AA64" s="4"/>
      <c r="AB64" s="5">
        <f t="shared" si="39"/>
        <v>0</v>
      </c>
      <c r="AC64" s="9" t="str">
        <f t="shared" si="40"/>
        <v/>
      </c>
      <c r="AD64" s="4"/>
      <c r="AE64" s="4"/>
      <c r="AF64" s="5">
        <f t="shared" si="41"/>
        <v>0</v>
      </c>
      <c r="AG64" s="9" t="str">
        <f t="shared" si="42"/>
        <v/>
      </c>
      <c r="AH64" s="5">
        <f>313.5</f>
        <v>313.5</v>
      </c>
      <c r="AI64" s="4"/>
      <c r="AJ64" s="5">
        <f t="shared" si="43"/>
        <v>313.5</v>
      </c>
      <c r="AK64" s="9" t="str">
        <f t="shared" si="44"/>
        <v/>
      </c>
      <c r="AL64" s="107"/>
      <c r="AM64" s="107"/>
      <c r="AN64" s="108">
        <f t="shared" si="45"/>
        <v>0</v>
      </c>
      <c r="AO64" s="109" t="str">
        <f t="shared" si="46"/>
        <v/>
      </c>
      <c r="AP64" s="4"/>
      <c r="AQ64" s="4"/>
      <c r="AR64" s="5">
        <f t="shared" si="47"/>
        <v>0</v>
      </c>
      <c r="AS64" s="9" t="str">
        <f t="shared" si="48"/>
        <v/>
      </c>
      <c r="AT64" s="4"/>
      <c r="AU64" s="4"/>
      <c r="AV64" s="5">
        <f t="shared" si="49"/>
        <v>0</v>
      </c>
      <c r="AW64" s="9" t="str">
        <f t="shared" si="50"/>
        <v/>
      </c>
      <c r="AX64" s="5">
        <f t="shared" si="51"/>
        <v>2117.4899999999998</v>
      </c>
      <c r="AY64" s="5">
        <v>0</v>
      </c>
      <c r="AZ64" s="5">
        <f t="shared" si="52"/>
        <v>2117.4899999999998</v>
      </c>
      <c r="BA64" s="9" t="str">
        <f t="shared" si="53"/>
        <v/>
      </c>
    </row>
    <row r="65" spans="1:53" x14ac:dyDescent="0.25">
      <c r="A65" s="3" t="s">
        <v>200</v>
      </c>
      <c r="B65" s="4"/>
      <c r="C65" s="5">
        <f>416.67</f>
        <v>416.67</v>
      </c>
      <c r="D65" s="5">
        <f t="shared" si="27"/>
        <v>-416.67</v>
      </c>
      <c r="E65" s="9">
        <f t="shared" si="28"/>
        <v>0</v>
      </c>
      <c r="F65" s="4"/>
      <c r="G65" s="5">
        <f>416.67</f>
        <v>416.67</v>
      </c>
      <c r="H65" s="5">
        <f t="shared" si="29"/>
        <v>-416.67</v>
      </c>
      <c r="I65" s="9">
        <f t="shared" si="30"/>
        <v>0</v>
      </c>
      <c r="J65" s="4"/>
      <c r="K65" s="5">
        <f>416.67</f>
        <v>416.67</v>
      </c>
      <c r="L65" s="5">
        <f t="shared" si="31"/>
        <v>-416.67</v>
      </c>
      <c r="M65" s="9">
        <f t="shared" si="32"/>
        <v>0</v>
      </c>
      <c r="N65" s="4"/>
      <c r="O65" s="5">
        <f>416.67</f>
        <v>416.67</v>
      </c>
      <c r="P65" s="5">
        <f t="shared" si="33"/>
        <v>-416.67</v>
      </c>
      <c r="Q65" s="9">
        <f t="shared" si="34"/>
        <v>0</v>
      </c>
      <c r="R65" s="4"/>
      <c r="S65" s="5">
        <f>416.67</f>
        <v>416.67</v>
      </c>
      <c r="T65" s="5">
        <f t="shared" si="35"/>
        <v>-416.67</v>
      </c>
      <c r="U65" s="9">
        <f t="shared" si="36"/>
        <v>0</v>
      </c>
      <c r="V65" s="4"/>
      <c r="W65" s="5">
        <f>416.67</f>
        <v>416.67</v>
      </c>
      <c r="X65" s="5">
        <f t="shared" si="37"/>
        <v>-416.67</v>
      </c>
      <c r="Y65" s="9">
        <f t="shared" si="38"/>
        <v>0</v>
      </c>
      <c r="Z65" s="4"/>
      <c r="AA65" s="5">
        <f>416.67</f>
        <v>416.67</v>
      </c>
      <c r="AB65" s="5">
        <f t="shared" si="39"/>
        <v>-416.67</v>
      </c>
      <c r="AC65" s="9">
        <f t="shared" si="40"/>
        <v>0</v>
      </c>
      <c r="AD65" s="4"/>
      <c r="AE65" s="5">
        <f>416.67</f>
        <v>416.67</v>
      </c>
      <c r="AF65" s="5">
        <f t="shared" si="41"/>
        <v>-416.67</v>
      </c>
      <c r="AG65" s="9">
        <f t="shared" si="42"/>
        <v>0</v>
      </c>
      <c r="AH65" s="5">
        <f>372</f>
        <v>372</v>
      </c>
      <c r="AI65" s="5">
        <f>416.66</f>
        <v>416.66</v>
      </c>
      <c r="AJ65" s="5">
        <f t="shared" si="43"/>
        <v>-44.660000000000025</v>
      </c>
      <c r="AK65" s="9">
        <f t="shared" si="44"/>
        <v>0.89281428502856042</v>
      </c>
      <c r="AL65" s="108">
        <f>1748.75</f>
        <v>1748.75</v>
      </c>
      <c r="AM65" s="108">
        <f>416.66</f>
        <v>416.66</v>
      </c>
      <c r="AN65" s="108">
        <f t="shared" si="45"/>
        <v>1332.09</v>
      </c>
      <c r="AO65" s="109">
        <f t="shared" si="46"/>
        <v>4.1970671530744488</v>
      </c>
      <c r="AP65" s="5">
        <f>6030.92</f>
        <v>6030.92</v>
      </c>
      <c r="AQ65" s="5">
        <f>416.66</f>
        <v>416.66</v>
      </c>
      <c r="AR65" s="5">
        <f t="shared" si="47"/>
        <v>5614.26</v>
      </c>
      <c r="AS65" s="9">
        <f t="shared" si="48"/>
        <v>14.474439591033455</v>
      </c>
      <c r="AT65" s="4"/>
      <c r="AU65" s="5">
        <f>416.66</f>
        <v>416.66</v>
      </c>
      <c r="AV65" s="5">
        <f t="shared" si="49"/>
        <v>-416.66</v>
      </c>
      <c r="AW65" s="9">
        <f t="shared" si="50"/>
        <v>0</v>
      </c>
      <c r="AX65" s="5">
        <f t="shared" si="51"/>
        <v>8151.67</v>
      </c>
      <c r="AY65" s="5">
        <v>5000</v>
      </c>
      <c r="AZ65" s="5">
        <f t="shared" si="52"/>
        <v>3151.67</v>
      </c>
      <c r="BA65" s="9">
        <f t="shared" si="53"/>
        <v>1.6303339999999999</v>
      </c>
    </row>
    <row r="66" spans="1:53" x14ac:dyDescent="0.25">
      <c r="A66" s="3" t="s">
        <v>199</v>
      </c>
      <c r="B66" s="7">
        <f>((((((((B57)+(B58))+(B59))+(B60))+(B61))+(B62))+(B63))+(B64))+(B65)</f>
        <v>7629.52</v>
      </c>
      <c r="C66" s="7">
        <f>((((((((C57)+(C58))+(C59))+(C60))+(C61))+(C62))+(C63))+(C64))+(C65)</f>
        <v>6288.66</v>
      </c>
      <c r="D66" s="7">
        <f t="shared" si="27"/>
        <v>1340.8600000000006</v>
      </c>
      <c r="E66" s="8">
        <f t="shared" si="28"/>
        <v>1.2132187143206981</v>
      </c>
      <c r="F66" s="7">
        <f>((((((((F57)+(F58))+(F59))+(F60))+(F61))+(F62))+(F63))+(F64))+(F65)</f>
        <v>6544.95</v>
      </c>
      <c r="G66" s="7">
        <f>((((((((G57)+(G58))+(G59))+(G60))+(G61))+(G62))+(G63))+(G64))+(G65)</f>
        <v>6288.66</v>
      </c>
      <c r="H66" s="7">
        <f t="shared" si="29"/>
        <v>256.28999999999996</v>
      </c>
      <c r="I66" s="8">
        <f t="shared" si="30"/>
        <v>1.0407543101392029</v>
      </c>
      <c r="J66" s="7">
        <f>((((((((J57)+(J58))+(J59))+(J60))+(J61))+(J62))+(J63))+(J64))+(J65)</f>
        <v>12623.79</v>
      </c>
      <c r="K66" s="7">
        <f>((((((((K57)+(K58))+(K59))+(K60))+(K61))+(K62))+(K63))+(K64))+(K65)</f>
        <v>6288.66</v>
      </c>
      <c r="L66" s="7">
        <f t="shared" si="31"/>
        <v>6335.130000000001</v>
      </c>
      <c r="M66" s="8">
        <f t="shared" si="32"/>
        <v>2.0073894915610007</v>
      </c>
      <c r="N66" s="7">
        <f>((((((((N57)+(N58))+(N59))+(N60))+(N61))+(N62))+(N63))+(N64))+(N65)</f>
        <v>5697.41</v>
      </c>
      <c r="O66" s="7">
        <f>((((((((O57)+(O58))+(O59))+(O60))+(O61))+(O62))+(O63))+(O64))+(O65)</f>
        <v>6288.66</v>
      </c>
      <c r="P66" s="7">
        <f t="shared" si="33"/>
        <v>-591.25</v>
      </c>
      <c r="Q66" s="8">
        <f t="shared" si="34"/>
        <v>0.90598156045962097</v>
      </c>
      <c r="R66" s="7">
        <f>((((((((R57)+(R58))+(R59))+(R60))+(R61))+(R62))+(R63))+(R64))+(R65)</f>
        <v>14890.720000000001</v>
      </c>
      <c r="S66" s="7">
        <f>((((((((S57)+(S58))+(S59))+(S60))+(S61))+(S62))+(S63))+(S64))+(S65)</f>
        <v>6288.66</v>
      </c>
      <c r="T66" s="7">
        <f t="shared" si="35"/>
        <v>8602.0600000000013</v>
      </c>
      <c r="U66" s="8">
        <f t="shared" si="36"/>
        <v>2.3678685125289016</v>
      </c>
      <c r="V66" s="7">
        <f>((((((((V57)+(V58))+(V59))+(V60))+(V61))+(V62))+(V63))+(V64))+(V65)</f>
        <v>9314.9699999999993</v>
      </c>
      <c r="W66" s="7">
        <f>((((((((W57)+(W58))+(W59))+(W60))+(W61))+(W62))+(W63))+(W64))+(W65)</f>
        <v>6288.66</v>
      </c>
      <c r="X66" s="7">
        <f t="shared" si="37"/>
        <v>3026.3099999999995</v>
      </c>
      <c r="Y66" s="8">
        <f t="shared" si="38"/>
        <v>1.4812328858612167</v>
      </c>
      <c r="Z66" s="7">
        <f>((((((((Z57)+(Z58))+(Z59))+(Z60))+(Z61))+(Z62))+(Z63))+(Z64))+(Z65)</f>
        <v>8866.4700000000012</v>
      </c>
      <c r="AA66" s="7">
        <f>((((((((AA57)+(AA58))+(AA59))+(AA60))+(AA61))+(AA62))+(AA63))+(AA64))+(AA65)</f>
        <v>6288.66</v>
      </c>
      <c r="AB66" s="7">
        <f t="shared" si="39"/>
        <v>2577.8100000000013</v>
      </c>
      <c r="AC66" s="8">
        <f t="shared" si="40"/>
        <v>1.4099140357405235</v>
      </c>
      <c r="AD66" s="7">
        <f>((((((((AD57)+(AD58))+(AD59))+(AD60))+(AD61))+(AD62))+(AD63))+(AD64))+(AD65)</f>
        <v>37182.520000000004</v>
      </c>
      <c r="AE66" s="7">
        <f>((((((((AE57)+(AE58))+(AE59))+(AE60))+(AE61))+(AE62))+(AE63))+(AE64))+(AE65)</f>
        <v>12379.460000000001</v>
      </c>
      <c r="AF66" s="7">
        <f t="shared" si="41"/>
        <v>24803.060000000005</v>
      </c>
      <c r="AG66" s="8">
        <f t="shared" si="42"/>
        <v>3.0035655836361199</v>
      </c>
      <c r="AH66" s="7">
        <f>((((((((AH57)+(AH58))+(AH59))+(AH60))+(AH61))+(AH62))+(AH63))+(AH64))+(AH65)</f>
        <v>11441.1</v>
      </c>
      <c r="AI66" s="7">
        <f>((((((((AI57)+(AI58))+(AI59))+(AI60))+(AI61))+(AI62))+(AI63))+(AI64))+(AI65)</f>
        <v>12379.45</v>
      </c>
      <c r="AJ66" s="7">
        <f t="shared" si="43"/>
        <v>-938.35000000000036</v>
      </c>
      <c r="AK66" s="8">
        <f t="shared" si="44"/>
        <v>0.92420099438989611</v>
      </c>
      <c r="AL66" s="110">
        <f>((((((((AL57)+(AL58))+(AL59))+(AL60))+(AL61))+(AL62))+(AL63))+(AL64))+(AL65)</f>
        <v>5509.09</v>
      </c>
      <c r="AM66" s="110">
        <f>((((((((AM57)+(AM58))+(AM59))+(AM60))+(AM61))+(AM62))+(AM63))+(AM64))+(AM65)</f>
        <v>12379.470000000001</v>
      </c>
      <c r="AN66" s="110">
        <f t="shared" si="45"/>
        <v>-6870.380000000001</v>
      </c>
      <c r="AO66" s="111">
        <f t="shared" si="46"/>
        <v>0.44501824391512718</v>
      </c>
      <c r="AP66" s="7">
        <f>((((((((AP57)+(AP58))+(AP59))+(AP60))+(AP61))+(AP62))+(AP63))+(AP64))+(AP65)</f>
        <v>8381.01</v>
      </c>
      <c r="AQ66" s="7">
        <f>((((((((AQ57)+(AQ58))+(AQ59))+(AQ60))+(AQ61))+(AQ62))+(AQ63))+(AQ64))+(AQ65)</f>
        <v>12379.470000000001</v>
      </c>
      <c r="AR66" s="7">
        <f t="shared" si="47"/>
        <v>-3998.4600000000009</v>
      </c>
      <c r="AS66" s="8">
        <f t="shared" si="48"/>
        <v>0.67700878955237986</v>
      </c>
      <c r="AT66" s="7">
        <f>((((((((AT57)+(AT58))+(AT59))+(AT60))+(AT61))+(AT62))+(AT63))+(AT64))+(AT65)</f>
        <v>0</v>
      </c>
      <c r="AU66" s="7">
        <f>((((((((AU57)+(AU58))+(AU59))+(AU60))+(AU61))+(AU62))+(AU63))+(AU64))+(AU65)</f>
        <v>12379.53</v>
      </c>
      <c r="AV66" s="7">
        <f t="shared" si="49"/>
        <v>-12379.53</v>
      </c>
      <c r="AW66" s="8">
        <f t="shared" si="50"/>
        <v>0</v>
      </c>
      <c r="AX66" s="7">
        <f t="shared" si="51"/>
        <v>128081.55</v>
      </c>
      <c r="AY66" s="7">
        <v>105918</v>
      </c>
      <c r="AZ66" s="7">
        <f t="shared" si="52"/>
        <v>22163.550000000003</v>
      </c>
      <c r="BA66" s="8">
        <f t="shared" si="53"/>
        <v>1.2092519685039371</v>
      </c>
    </row>
    <row r="67" spans="1:53" x14ac:dyDescent="0.25">
      <c r="A67" s="3" t="s">
        <v>198</v>
      </c>
      <c r="B67" s="4"/>
      <c r="C67" s="5">
        <f>5237.84</f>
        <v>5237.84</v>
      </c>
      <c r="D67" s="5">
        <f t="shared" si="27"/>
        <v>-5237.84</v>
      </c>
      <c r="E67" s="9">
        <f t="shared" si="28"/>
        <v>0</v>
      </c>
      <c r="F67" s="4"/>
      <c r="G67" s="5">
        <f>5237.84</f>
        <v>5237.84</v>
      </c>
      <c r="H67" s="5">
        <f t="shared" si="29"/>
        <v>-5237.84</v>
      </c>
      <c r="I67" s="9">
        <f t="shared" si="30"/>
        <v>0</v>
      </c>
      <c r="J67" s="4"/>
      <c r="K67" s="5">
        <f>5237.84</f>
        <v>5237.84</v>
      </c>
      <c r="L67" s="5">
        <f t="shared" si="31"/>
        <v>-5237.84</v>
      </c>
      <c r="M67" s="9">
        <f t="shared" si="32"/>
        <v>0</v>
      </c>
      <c r="N67" s="4"/>
      <c r="O67" s="5">
        <f>5237.84</f>
        <v>5237.84</v>
      </c>
      <c r="P67" s="5">
        <f t="shared" si="33"/>
        <v>-5237.84</v>
      </c>
      <c r="Q67" s="9">
        <f t="shared" si="34"/>
        <v>0</v>
      </c>
      <c r="R67" s="4"/>
      <c r="S67" s="5">
        <f>5237.84</f>
        <v>5237.84</v>
      </c>
      <c r="T67" s="5">
        <f t="shared" si="35"/>
        <v>-5237.84</v>
      </c>
      <c r="U67" s="9">
        <f t="shared" si="36"/>
        <v>0</v>
      </c>
      <c r="V67" s="4"/>
      <c r="W67" s="5">
        <f>5237.84</f>
        <v>5237.84</v>
      </c>
      <c r="X67" s="5">
        <f t="shared" si="37"/>
        <v>-5237.84</v>
      </c>
      <c r="Y67" s="9">
        <f t="shared" si="38"/>
        <v>0</v>
      </c>
      <c r="Z67" s="4"/>
      <c r="AA67" s="5">
        <f>5237.84</f>
        <v>5237.84</v>
      </c>
      <c r="AB67" s="5">
        <f t="shared" si="39"/>
        <v>-5237.84</v>
      </c>
      <c r="AC67" s="9">
        <f t="shared" si="40"/>
        <v>0</v>
      </c>
      <c r="AD67" s="4"/>
      <c r="AE67" s="5">
        <f>5237.84</f>
        <v>5237.84</v>
      </c>
      <c r="AF67" s="5">
        <f t="shared" si="41"/>
        <v>-5237.84</v>
      </c>
      <c r="AG67" s="9">
        <f t="shared" si="42"/>
        <v>0</v>
      </c>
      <c r="AH67" s="4"/>
      <c r="AI67" s="5">
        <f>5237.84</f>
        <v>5237.84</v>
      </c>
      <c r="AJ67" s="5">
        <f t="shared" si="43"/>
        <v>-5237.84</v>
      </c>
      <c r="AK67" s="9">
        <f t="shared" si="44"/>
        <v>0</v>
      </c>
      <c r="AL67" s="107"/>
      <c r="AM67" s="108">
        <f>5237.84</f>
        <v>5237.84</v>
      </c>
      <c r="AN67" s="108">
        <f t="shared" si="45"/>
        <v>-5237.84</v>
      </c>
      <c r="AO67" s="109">
        <f t="shared" si="46"/>
        <v>0</v>
      </c>
      <c r="AP67" s="4"/>
      <c r="AQ67" s="5">
        <f>5237.8</f>
        <v>5237.8</v>
      </c>
      <c r="AR67" s="5">
        <f t="shared" si="47"/>
        <v>-5237.8</v>
      </c>
      <c r="AS67" s="9">
        <f t="shared" si="48"/>
        <v>0</v>
      </c>
      <c r="AT67" s="4"/>
      <c r="AU67" s="5">
        <f>5237.8</f>
        <v>5237.8</v>
      </c>
      <c r="AV67" s="5">
        <f t="shared" si="49"/>
        <v>-5237.8</v>
      </c>
      <c r="AW67" s="9">
        <f t="shared" si="50"/>
        <v>0</v>
      </c>
      <c r="AX67" s="5">
        <f t="shared" si="51"/>
        <v>0</v>
      </c>
      <c r="AY67" s="5">
        <v>62854</v>
      </c>
      <c r="AZ67" s="5">
        <f t="shared" si="52"/>
        <v>-62854</v>
      </c>
      <c r="BA67" s="9">
        <f t="shared" si="53"/>
        <v>0</v>
      </c>
    </row>
    <row r="68" spans="1:53" x14ac:dyDescent="0.25">
      <c r="A68" s="3" t="s">
        <v>197</v>
      </c>
      <c r="B68" s="4"/>
      <c r="C68" s="4"/>
      <c r="D68" s="5">
        <f t="shared" ref="D68:D99" si="54">(B68)-(C68)</f>
        <v>0</v>
      </c>
      <c r="E68" s="9" t="str">
        <f t="shared" ref="E68:E99" si="55">IF(C68=0,"",(B68)/(C68))</f>
        <v/>
      </c>
      <c r="F68" s="4"/>
      <c r="G68" s="4"/>
      <c r="H68" s="5">
        <f t="shared" ref="H68:H99" si="56">(F68)-(G68)</f>
        <v>0</v>
      </c>
      <c r="I68" s="9" t="str">
        <f t="shared" ref="I68:I99" si="57">IF(G68=0,"",(F68)/(G68))</f>
        <v/>
      </c>
      <c r="J68" s="4"/>
      <c r="K68" s="4"/>
      <c r="L68" s="5">
        <f t="shared" ref="L68:L99" si="58">(J68)-(K68)</f>
        <v>0</v>
      </c>
      <c r="M68" s="9" t="str">
        <f t="shared" ref="M68:M99" si="59">IF(K68=0,"",(J68)/(K68))</f>
        <v/>
      </c>
      <c r="N68" s="4"/>
      <c r="O68" s="4"/>
      <c r="P68" s="5">
        <f t="shared" ref="P68:P99" si="60">(N68)-(O68)</f>
        <v>0</v>
      </c>
      <c r="Q68" s="9" t="str">
        <f t="shared" ref="Q68:Q99" si="61">IF(O68=0,"",(N68)/(O68))</f>
        <v/>
      </c>
      <c r="R68" s="4"/>
      <c r="S68" s="4"/>
      <c r="T68" s="5">
        <f t="shared" ref="T68:T99" si="62">(R68)-(S68)</f>
        <v>0</v>
      </c>
      <c r="U68" s="9" t="str">
        <f t="shared" ref="U68:U99" si="63">IF(S68=0,"",(R68)/(S68))</f>
        <v/>
      </c>
      <c r="V68" s="4"/>
      <c r="W68" s="4"/>
      <c r="X68" s="5">
        <f t="shared" ref="X68:X99" si="64">(V68)-(W68)</f>
        <v>0</v>
      </c>
      <c r="Y68" s="9" t="str">
        <f t="shared" ref="Y68:Y99" si="65">IF(W68=0,"",(V68)/(W68))</f>
        <v/>
      </c>
      <c r="Z68" s="4"/>
      <c r="AA68" s="4"/>
      <c r="AB68" s="5">
        <f t="shared" ref="AB68:AB99" si="66">(Z68)-(AA68)</f>
        <v>0</v>
      </c>
      <c r="AC68" s="9" t="str">
        <f t="shared" ref="AC68:AC99" si="67">IF(AA68=0,"",(Z68)/(AA68))</f>
        <v/>
      </c>
      <c r="AD68" s="4"/>
      <c r="AE68" s="4"/>
      <c r="AF68" s="5">
        <f t="shared" ref="AF68:AF99" si="68">(AD68)-(AE68)</f>
        <v>0</v>
      </c>
      <c r="AG68" s="9" t="str">
        <f t="shared" ref="AG68:AG99" si="69">IF(AE68=0,"",(AD68)/(AE68))</f>
        <v/>
      </c>
      <c r="AH68" s="4"/>
      <c r="AI68" s="4"/>
      <c r="AJ68" s="5">
        <f t="shared" ref="AJ68:AJ99" si="70">(AH68)-(AI68)</f>
        <v>0</v>
      </c>
      <c r="AK68" s="9" t="str">
        <f t="shared" ref="AK68:AK99" si="71">IF(AI68=0,"",(AH68)/(AI68))</f>
        <v/>
      </c>
      <c r="AL68" s="107"/>
      <c r="AM68" s="107"/>
      <c r="AN68" s="108">
        <f t="shared" ref="AN68:AN99" si="72">(AL68)-(AM68)</f>
        <v>0</v>
      </c>
      <c r="AO68" s="109" t="str">
        <f t="shared" ref="AO68:AO99" si="73">IF(AM68=0,"",(AL68)/(AM68))</f>
        <v/>
      </c>
      <c r="AP68" s="5">
        <f>3625</f>
        <v>3625</v>
      </c>
      <c r="AQ68" s="4"/>
      <c r="AR68" s="5">
        <f t="shared" ref="AR68:AR99" si="74">(AP68)-(AQ68)</f>
        <v>3625</v>
      </c>
      <c r="AS68" s="9" t="str">
        <f t="shared" ref="AS68:AS99" si="75">IF(AQ68=0,"",(AP68)/(AQ68))</f>
        <v/>
      </c>
      <c r="AT68" s="4"/>
      <c r="AU68" s="4"/>
      <c r="AV68" s="5">
        <f t="shared" ref="AV68:AV99" si="76">(AT68)-(AU68)</f>
        <v>0</v>
      </c>
      <c r="AW68" s="9" t="str">
        <f t="shared" ref="AW68:AW99" si="77">IF(AU68=0,"",(AT68)/(AU68))</f>
        <v/>
      </c>
      <c r="AX68" s="5">
        <f t="shared" ref="AX68:AX99" si="78">(((((((((((B68)+(F68))+(J68))+(N68))+(R68))+(V68))+(Z68))+(AD68))+(AH68))+(AL68))+(AP68))+(AT68)</f>
        <v>3625</v>
      </c>
      <c r="AY68" s="5">
        <v>0</v>
      </c>
      <c r="AZ68" s="5">
        <f t="shared" ref="AZ68:AZ99" si="79">(AX68)-(AY68)</f>
        <v>3625</v>
      </c>
      <c r="BA68" s="9" t="str">
        <f t="shared" ref="BA68:BA99" si="80">IF(AY68=0,"",(AX68)/(AY68))</f>
        <v/>
      </c>
    </row>
    <row r="69" spans="1:53" x14ac:dyDescent="0.25">
      <c r="A69" s="3" t="s">
        <v>196</v>
      </c>
      <c r="B69" s="4"/>
      <c r="C69" s="5">
        <f>8333.33</f>
        <v>8333.33</v>
      </c>
      <c r="D69" s="5">
        <f t="shared" si="54"/>
        <v>-8333.33</v>
      </c>
      <c r="E69" s="9">
        <f t="shared" si="55"/>
        <v>0</v>
      </c>
      <c r="F69" s="5">
        <f>759.38</f>
        <v>759.38</v>
      </c>
      <c r="G69" s="5">
        <f>8333.33</f>
        <v>8333.33</v>
      </c>
      <c r="H69" s="5">
        <f t="shared" si="56"/>
        <v>-7573.95</v>
      </c>
      <c r="I69" s="9">
        <f t="shared" si="57"/>
        <v>9.112563645025458E-2</v>
      </c>
      <c r="J69" s="5">
        <f>2500</f>
        <v>2500</v>
      </c>
      <c r="K69" s="5">
        <f>8333.33</f>
        <v>8333.33</v>
      </c>
      <c r="L69" s="5">
        <f t="shared" si="58"/>
        <v>-5833.33</v>
      </c>
      <c r="M69" s="9">
        <f t="shared" si="59"/>
        <v>0.300000120000048</v>
      </c>
      <c r="N69" s="4"/>
      <c r="O69" s="5">
        <f>8333.33</f>
        <v>8333.33</v>
      </c>
      <c r="P69" s="5">
        <f t="shared" si="60"/>
        <v>-8333.33</v>
      </c>
      <c r="Q69" s="9">
        <f t="shared" si="61"/>
        <v>0</v>
      </c>
      <c r="R69" s="5">
        <f>0</f>
        <v>0</v>
      </c>
      <c r="S69" s="5">
        <f>8333.33</f>
        <v>8333.33</v>
      </c>
      <c r="T69" s="5">
        <f t="shared" si="62"/>
        <v>-8333.33</v>
      </c>
      <c r="U69" s="9">
        <f t="shared" si="63"/>
        <v>0</v>
      </c>
      <c r="V69" s="4"/>
      <c r="W69" s="5">
        <f>8333.33</f>
        <v>8333.33</v>
      </c>
      <c r="X69" s="5">
        <f t="shared" si="64"/>
        <v>-8333.33</v>
      </c>
      <c r="Y69" s="9">
        <f t="shared" si="65"/>
        <v>0</v>
      </c>
      <c r="Z69" s="4"/>
      <c r="AA69" s="5">
        <f>8333.33</f>
        <v>8333.33</v>
      </c>
      <c r="AB69" s="5">
        <f t="shared" si="66"/>
        <v>-8333.33</v>
      </c>
      <c r="AC69" s="9">
        <f t="shared" si="67"/>
        <v>0</v>
      </c>
      <c r="AD69" s="4"/>
      <c r="AE69" s="5">
        <f>8333.33</f>
        <v>8333.33</v>
      </c>
      <c r="AF69" s="5">
        <f t="shared" si="68"/>
        <v>-8333.33</v>
      </c>
      <c r="AG69" s="9">
        <f t="shared" si="69"/>
        <v>0</v>
      </c>
      <c r="AH69" s="4"/>
      <c r="AI69" s="5">
        <f>8333.33</f>
        <v>8333.33</v>
      </c>
      <c r="AJ69" s="5">
        <f t="shared" si="70"/>
        <v>-8333.33</v>
      </c>
      <c r="AK69" s="9">
        <f t="shared" si="71"/>
        <v>0</v>
      </c>
      <c r="AL69" s="107"/>
      <c r="AM69" s="108">
        <f>8333.33</f>
        <v>8333.33</v>
      </c>
      <c r="AN69" s="108">
        <f t="shared" si="72"/>
        <v>-8333.33</v>
      </c>
      <c r="AO69" s="109">
        <f t="shared" si="73"/>
        <v>0</v>
      </c>
      <c r="AP69" s="4"/>
      <c r="AQ69" s="5">
        <f>8333.37</f>
        <v>8333.3700000000008</v>
      </c>
      <c r="AR69" s="5">
        <f t="shared" si="74"/>
        <v>-8333.3700000000008</v>
      </c>
      <c r="AS69" s="9">
        <f t="shared" si="75"/>
        <v>0</v>
      </c>
      <c r="AT69" s="4"/>
      <c r="AU69" s="5">
        <f>8333.33</f>
        <v>8333.33</v>
      </c>
      <c r="AV69" s="5">
        <f t="shared" si="76"/>
        <v>-8333.33</v>
      </c>
      <c r="AW69" s="9">
        <f t="shared" si="77"/>
        <v>0</v>
      </c>
      <c r="AX69" s="5">
        <f t="shared" si="78"/>
        <v>3259.38</v>
      </c>
      <c r="AY69" s="5">
        <v>100000</v>
      </c>
      <c r="AZ69" s="5">
        <f t="shared" si="79"/>
        <v>-96740.62</v>
      </c>
      <c r="BA69" s="9">
        <f t="shared" si="80"/>
        <v>3.2593799999999999E-2</v>
      </c>
    </row>
    <row r="70" spans="1:53" x14ac:dyDescent="0.25">
      <c r="A70" s="3" t="s">
        <v>195</v>
      </c>
      <c r="B70" s="4"/>
      <c r="C70" s="4"/>
      <c r="D70" s="5">
        <f t="shared" si="54"/>
        <v>0</v>
      </c>
      <c r="E70" s="9" t="str">
        <f t="shared" si="55"/>
        <v/>
      </c>
      <c r="F70" s="4"/>
      <c r="G70" s="4"/>
      <c r="H70" s="5">
        <f t="shared" si="56"/>
        <v>0</v>
      </c>
      <c r="I70" s="9" t="str">
        <f t="shared" si="57"/>
        <v/>
      </c>
      <c r="J70" s="4"/>
      <c r="K70" s="4"/>
      <c r="L70" s="5">
        <f t="shared" si="58"/>
        <v>0</v>
      </c>
      <c r="M70" s="9" t="str">
        <f t="shared" si="59"/>
        <v/>
      </c>
      <c r="N70" s="4"/>
      <c r="O70" s="4"/>
      <c r="P70" s="5">
        <f t="shared" si="60"/>
        <v>0</v>
      </c>
      <c r="Q70" s="9" t="str">
        <f t="shared" si="61"/>
        <v/>
      </c>
      <c r="R70" s="4"/>
      <c r="S70" s="4"/>
      <c r="T70" s="5">
        <f t="shared" si="62"/>
        <v>0</v>
      </c>
      <c r="U70" s="9" t="str">
        <f t="shared" si="63"/>
        <v/>
      </c>
      <c r="V70" s="4"/>
      <c r="W70" s="4"/>
      <c r="X70" s="5">
        <f t="shared" si="64"/>
        <v>0</v>
      </c>
      <c r="Y70" s="9" t="str">
        <f t="shared" si="65"/>
        <v/>
      </c>
      <c r="Z70" s="4"/>
      <c r="AA70" s="4"/>
      <c r="AB70" s="5">
        <f t="shared" si="66"/>
        <v>0</v>
      </c>
      <c r="AC70" s="9" t="str">
        <f t="shared" si="67"/>
        <v/>
      </c>
      <c r="AD70" s="5">
        <f>313.5</f>
        <v>313.5</v>
      </c>
      <c r="AE70" s="4"/>
      <c r="AF70" s="5">
        <f t="shared" si="68"/>
        <v>313.5</v>
      </c>
      <c r="AG70" s="9" t="str">
        <f t="shared" si="69"/>
        <v/>
      </c>
      <c r="AH70" s="4"/>
      <c r="AI70" s="4"/>
      <c r="AJ70" s="5">
        <f t="shared" si="70"/>
        <v>0</v>
      </c>
      <c r="AK70" s="9" t="str">
        <f t="shared" si="71"/>
        <v/>
      </c>
      <c r="AL70" s="107"/>
      <c r="AM70" s="107"/>
      <c r="AN70" s="108">
        <f t="shared" si="72"/>
        <v>0</v>
      </c>
      <c r="AO70" s="109" t="str">
        <f t="shared" si="73"/>
        <v/>
      </c>
      <c r="AP70" s="4"/>
      <c r="AQ70" s="4"/>
      <c r="AR70" s="5">
        <f t="shared" si="74"/>
        <v>0</v>
      </c>
      <c r="AS70" s="9" t="str">
        <f t="shared" si="75"/>
        <v/>
      </c>
      <c r="AT70" s="4"/>
      <c r="AU70" s="4"/>
      <c r="AV70" s="5">
        <f t="shared" si="76"/>
        <v>0</v>
      </c>
      <c r="AW70" s="9" t="str">
        <f t="shared" si="77"/>
        <v/>
      </c>
      <c r="AX70" s="5">
        <f t="shared" si="78"/>
        <v>313.5</v>
      </c>
      <c r="AY70" s="5">
        <v>0</v>
      </c>
      <c r="AZ70" s="5">
        <f t="shared" si="79"/>
        <v>313.5</v>
      </c>
      <c r="BA70" s="9" t="str">
        <f t="shared" si="80"/>
        <v/>
      </c>
    </row>
    <row r="71" spans="1:53" x14ac:dyDescent="0.25">
      <c r="A71" s="3" t="s">
        <v>194</v>
      </c>
      <c r="B71" s="7">
        <f>(((B67)+(B68))+(B69))+(B70)</f>
        <v>0</v>
      </c>
      <c r="C71" s="7">
        <f>(((C67)+(C68))+(C69))+(C70)</f>
        <v>13571.17</v>
      </c>
      <c r="D71" s="7">
        <f t="shared" si="54"/>
        <v>-13571.17</v>
      </c>
      <c r="E71" s="8">
        <f t="shared" si="55"/>
        <v>0</v>
      </c>
      <c r="F71" s="7">
        <f>(((F67)+(F68))+(F69))+(F70)</f>
        <v>759.38</v>
      </c>
      <c r="G71" s="7">
        <f>(((G67)+(G68))+(G69))+(G70)</f>
        <v>13571.17</v>
      </c>
      <c r="H71" s="7">
        <f t="shared" si="56"/>
        <v>-12811.79</v>
      </c>
      <c r="I71" s="8">
        <f t="shared" si="57"/>
        <v>5.5955381886749631E-2</v>
      </c>
      <c r="J71" s="7">
        <f>(((J67)+(J68))+(J69))+(J70)</f>
        <v>2500</v>
      </c>
      <c r="K71" s="7">
        <f>(((K67)+(K68))+(K69))+(K70)</f>
        <v>13571.17</v>
      </c>
      <c r="L71" s="7">
        <f t="shared" si="58"/>
        <v>-11071.17</v>
      </c>
      <c r="M71" s="8">
        <f t="shared" si="59"/>
        <v>0.18421403607795053</v>
      </c>
      <c r="N71" s="7">
        <f>(((N67)+(N68))+(N69))+(N70)</f>
        <v>0</v>
      </c>
      <c r="O71" s="7">
        <f>(((O67)+(O68))+(O69))+(O70)</f>
        <v>13571.17</v>
      </c>
      <c r="P71" s="7">
        <f t="shared" si="60"/>
        <v>-13571.17</v>
      </c>
      <c r="Q71" s="8">
        <f t="shared" si="61"/>
        <v>0</v>
      </c>
      <c r="R71" s="7">
        <f>(((R67)+(R68))+(R69))+(R70)</f>
        <v>0</v>
      </c>
      <c r="S71" s="7">
        <f>(((S67)+(S68))+(S69))+(S70)</f>
        <v>13571.17</v>
      </c>
      <c r="T71" s="7">
        <f t="shared" si="62"/>
        <v>-13571.17</v>
      </c>
      <c r="U71" s="8">
        <f t="shared" si="63"/>
        <v>0</v>
      </c>
      <c r="V71" s="7">
        <f>(((V67)+(V68))+(V69))+(V70)</f>
        <v>0</v>
      </c>
      <c r="W71" s="7">
        <f>(((W67)+(W68))+(W69))+(W70)</f>
        <v>13571.17</v>
      </c>
      <c r="X71" s="7">
        <f t="shared" si="64"/>
        <v>-13571.17</v>
      </c>
      <c r="Y71" s="8">
        <f t="shared" si="65"/>
        <v>0</v>
      </c>
      <c r="Z71" s="7">
        <f>(((Z67)+(Z68))+(Z69))+(Z70)</f>
        <v>0</v>
      </c>
      <c r="AA71" s="7">
        <f>(((AA67)+(AA68))+(AA69))+(AA70)</f>
        <v>13571.17</v>
      </c>
      <c r="AB71" s="7">
        <f t="shared" si="66"/>
        <v>-13571.17</v>
      </c>
      <c r="AC71" s="8">
        <f t="shared" si="67"/>
        <v>0</v>
      </c>
      <c r="AD71" s="7">
        <f>(((AD67)+(AD68))+(AD69))+(AD70)</f>
        <v>313.5</v>
      </c>
      <c r="AE71" s="7">
        <f>(((AE67)+(AE68))+(AE69))+(AE70)</f>
        <v>13571.17</v>
      </c>
      <c r="AF71" s="7">
        <f t="shared" si="68"/>
        <v>-13257.67</v>
      </c>
      <c r="AG71" s="8">
        <f t="shared" si="69"/>
        <v>2.3100440124174997E-2</v>
      </c>
      <c r="AH71" s="7">
        <f>(((AH67)+(AH68))+(AH69))+(AH70)</f>
        <v>0</v>
      </c>
      <c r="AI71" s="7">
        <f>(((AI67)+(AI68))+(AI69))+(AI70)</f>
        <v>13571.17</v>
      </c>
      <c r="AJ71" s="7">
        <f t="shared" si="70"/>
        <v>-13571.17</v>
      </c>
      <c r="AK71" s="8">
        <f t="shared" si="71"/>
        <v>0</v>
      </c>
      <c r="AL71" s="110">
        <f>(((AL67)+(AL68))+(AL69))+(AL70)</f>
        <v>0</v>
      </c>
      <c r="AM71" s="110">
        <f>(((AM67)+(AM68))+(AM69))+(AM70)</f>
        <v>13571.17</v>
      </c>
      <c r="AN71" s="110">
        <f t="shared" si="72"/>
        <v>-13571.17</v>
      </c>
      <c r="AO71" s="111">
        <f t="shared" si="73"/>
        <v>0</v>
      </c>
      <c r="AP71" s="7">
        <f>(((AP67)+(AP68))+(AP69))+(AP70)</f>
        <v>3625</v>
      </c>
      <c r="AQ71" s="7">
        <f>(((AQ67)+(AQ68))+(AQ69))+(AQ70)</f>
        <v>13571.170000000002</v>
      </c>
      <c r="AR71" s="7">
        <f t="shared" si="74"/>
        <v>-9946.1700000000019</v>
      </c>
      <c r="AS71" s="8">
        <f t="shared" si="75"/>
        <v>0.26711035231302827</v>
      </c>
      <c r="AT71" s="7">
        <f>(((AT67)+(AT68))+(AT69))+(AT70)</f>
        <v>0</v>
      </c>
      <c r="AU71" s="7">
        <f>(((AU67)+(AU68))+(AU69))+(AU70)</f>
        <v>13571.130000000001</v>
      </c>
      <c r="AV71" s="7">
        <f t="shared" si="76"/>
        <v>-13571.130000000001</v>
      </c>
      <c r="AW71" s="8">
        <f t="shared" si="77"/>
        <v>0</v>
      </c>
      <c r="AX71" s="7">
        <f t="shared" si="78"/>
        <v>7197.88</v>
      </c>
      <c r="AY71" s="7">
        <v>162854.00000000003</v>
      </c>
      <c r="AZ71" s="7">
        <f t="shared" si="79"/>
        <v>-155656.12000000002</v>
      </c>
      <c r="BA71" s="8">
        <f t="shared" si="80"/>
        <v>4.4198361722770078E-2</v>
      </c>
    </row>
    <row r="72" spans="1:53" x14ac:dyDescent="0.25">
      <c r="A72" s="3" t="s">
        <v>193</v>
      </c>
      <c r="B72" s="4"/>
      <c r="C72" s="4"/>
      <c r="D72" s="5">
        <f t="shared" si="54"/>
        <v>0</v>
      </c>
      <c r="E72" s="9" t="str">
        <f t="shared" si="55"/>
        <v/>
      </c>
      <c r="F72" s="4"/>
      <c r="G72" s="4"/>
      <c r="H72" s="5">
        <f t="shared" si="56"/>
        <v>0</v>
      </c>
      <c r="I72" s="9" t="str">
        <f t="shared" si="57"/>
        <v/>
      </c>
      <c r="J72" s="4"/>
      <c r="K72" s="4"/>
      <c r="L72" s="5">
        <f t="shared" si="58"/>
        <v>0</v>
      </c>
      <c r="M72" s="9" t="str">
        <f t="shared" si="59"/>
        <v/>
      </c>
      <c r="N72" s="4"/>
      <c r="O72" s="4"/>
      <c r="P72" s="5">
        <f t="shared" si="60"/>
        <v>0</v>
      </c>
      <c r="Q72" s="9" t="str">
        <f t="shared" si="61"/>
        <v/>
      </c>
      <c r="R72" s="4"/>
      <c r="S72" s="4"/>
      <c r="T72" s="5">
        <f t="shared" si="62"/>
        <v>0</v>
      </c>
      <c r="U72" s="9" t="str">
        <f t="shared" si="63"/>
        <v/>
      </c>
      <c r="V72" s="4"/>
      <c r="W72" s="4"/>
      <c r="X72" s="5">
        <f t="shared" si="64"/>
        <v>0</v>
      </c>
      <c r="Y72" s="9" t="str">
        <f t="shared" si="65"/>
        <v/>
      </c>
      <c r="Z72" s="4"/>
      <c r="AA72" s="4"/>
      <c r="AB72" s="5">
        <f t="shared" si="66"/>
        <v>0</v>
      </c>
      <c r="AC72" s="9" t="str">
        <f t="shared" si="67"/>
        <v/>
      </c>
      <c r="AD72" s="4"/>
      <c r="AE72" s="4"/>
      <c r="AF72" s="5">
        <f t="shared" si="68"/>
        <v>0</v>
      </c>
      <c r="AG72" s="9" t="str">
        <f t="shared" si="69"/>
        <v/>
      </c>
      <c r="AH72" s="4"/>
      <c r="AI72" s="4"/>
      <c r="AJ72" s="5">
        <f t="shared" si="70"/>
        <v>0</v>
      </c>
      <c r="AK72" s="9" t="str">
        <f t="shared" si="71"/>
        <v/>
      </c>
      <c r="AL72" s="107"/>
      <c r="AM72" s="107"/>
      <c r="AN72" s="108">
        <f t="shared" si="72"/>
        <v>0</v>
      </c>
      <c r="AO72" s="109" t="str">
        <f t="shared" si="73"/>
        <v/>
      </c>
      <c r="AP72" s="4"/>
      <c r="AQ72" s="4"/>
      <c r="AR72" s="5">
        <f t="shared" si="74"/>
        <v>0</v>
      </c>
      <c r="AS72" s="9" t="str">
        <f t="shared" si="75"/>
        <v/>
      </c>
      <c r="AT72" s="4"/>
      <c r="AU72" s="4"/>
      <c r="AV72" s="5">
        <f t="shared" si="76"/>
        <v>0</v>
      </c>
      <c r="AW72" s="9" t="str">
        <f t="shared" si="77"/>
        <v/>
      </c>
      <c r="AX72" s="5">
        <f t="shared" si="78"/>
        <v>0</v>
      </c>
      <c r="AY72" s="5">
        <v>0</v>
      </c>
      <c r="AZ72" s="5">
        <f t="shared" si="79"/>
        <v>0</v>
      </c>
      <c r="BA72" s="9" t="str">
        <f t="shared" si="80"/>
        <v/>
      </c>
    </row>
    <row r="73" spans="1:53" x14ac:dyDescent="0.25">
      <c r="A73" s="3" t="s">
        <v>192</v>
      </c>
      <c r="B73" s="5">
        <f>5028.34</f>
        <v>5028.34</v>
      </c>
      <c r="C73" s="5">
        <f>5028.33</f>
        <v>5028.33</v>
      </c>
      <c r="D73" s="5">
        <f t="shared" si="54"/>
        <v>1.0000000000218279E-2</v>
      </c>
      <c r="E73" s="9">
        <f t="shared" si="55"/>
        <v>1.0000019887318454</v>
      </c>
      <c r="F73" s="5">
        <f>5028.34</f>
        <v>5028.34</v>
      </c>
      <c r="G73" s="5">
        <f>5028.33</f>
        <v>5028.33</v>
      </c>
      <c r="H73" s="5">
        <f t="shared" si="56"/>
        <v>1.0000000000218279E-2</v>
      </c>
      <c r="I73" s="9">
        <f t="shared" si="57"/>
        <v>1.0000019887318454</v>
      </c>
      <c r="J73" s="5">
        <f>5028.34</f>
        <v>5028.34</v>
      </c>
      <c r="K73" s="5">
        <f>5028.33</f>
        <v>5028.33</v>
      </c>
      <c r="L73" s="5">
        <f t="shared" si="58"/>
        <v>1.0000000000218279E-2</v>
      </c>
      <c r="M73" s="9">
        <f t="shared" si="59"/>
        <v>1.0000019887318454</v>
      </c>
      <c r="N73" s="5">
        <f>5028.34</f>
        <v>5028.34</v>
      </c>
      <c r="O73" s="5">
        <f>5028.33</f>
        <v>5028.33</v>
      </c>
      <c r="P73" s="5">
        <f t="shared" si="60"/>
        <v>1.0000000000218279E-2</v>
      </c>
      <c r="Q73" s="9">
        <f t="shared" si="61"/>
        <v>1.0000019887318454</v>
      </c>
      <c r="R73" s="5">
        <f>5028.34</f>
        <v>5028.34</v>
      </c>
      <c r="S73" s="5">
        <f>5028.33</f>
        <v>5028.33</v>
      </c>
      <c r="T73" s="5">
        <f t="shared" si="62"/>
        <v>1.0000000000218279E-2</v>
      </c>
      <c r="U73" s="9">
        <f t="shared" si="63"/>
        <v>1.0000019887318454</v>
      </c>
      <c r="V73" s="5">
        <f>5028.34</f>
        <v>5028.34</v>
      </c>
      <c r="W73" s="5">
        <f>5028.33</f>
        <v>5028.33</v>
      </c>
      <c r="X73" s="5">
        <f t="shared" si="64"/>
        <v>1.0000000000218279E-2</v>
      </c>
      <c r="Y73" s="9">
        <f t="shared" si="65"/>
        <v>1.0000019887318454</v>
      </c>
      <c r="Z73" s="5">
        <f>7057.77</f>
        <v>7057.77</v>
      </c>
      <c r="AA73" s="5">
        <f>5028.33</f>
        <v>5028.33</v>
      </c>
      <c r="AB73" s="5">
        <f t="shared" si="66"/>
        <v>2029.4400000000005</v>
      </c>
      <c r="AC73" s="9">
        <f t="shared" si="67"/>
        <v>1.4036011956255856</v>
      </c>
      <c r="AD73" s="5">
        <f>5028.34</f>
        <v>5028.34</v>
      </c>
      <c r="AE73" s="5">
        <f>5028.33</f>
        <v>5028.33</v>
      </c>
      <c r="AF73" s="5">
        <f t="shared" si="68"/>
        <v>1.0000000000218279E-2</v>
      </c>
      <c r="AG73" s="9">
        <f t="shared" si="69"/>
        <v>1.0000019887318454</v>
      </c>
      <c r="AH73" s="5">
        <f>6043.05</f>
        <v>6043.05</v>
      </c>
      <c r="AI73" s="5">
        <f>5028.33</f>
        <v>5028.33</v>
      </c>
      <c r="AJ73" s="5">
        <f t="shared" si="70"/>
        <v>1014.7200000000003</v>
      </c>
      <c r="AK73" s="9">
        <f t="shared" si="71"/>
        <v>1.2018005978127928</v>
      </c>
      <c r="AL73" s="108">
        <f>5028.34</f>
        <v>5028.34</v>
      </c>
      <c r="AM73" s="108">
        <f>5028.33</f>
        <v>5028.33</v>
      </c>
      <c r="AN73" s="108">
        <f t="shared" si="72"/>
        <v>1.0000000000218279E-2</v>
      </c>
      <c r="AO73" s="109">
        <f t="shared" si="73"/>
        <v>1.0000019887318454</v>
      </c>
      <c r="AP73" s="4"/>
      <c r="AQ73" s="5">
        <f>5028.33</f>
        <v>5028.33</v>
      </c>
      <c r="AR73" s="5">
        <f t="shared" si="74"/>
        <v>-5028.33</v>
      </c>
      <c r="AS73" s="9">
        <f t="shared" si="75"/>
        <v>0</v>
      </c>
      <c r="AT73" s="4"/>
      <c r="AU73" s="5">
        <f>5028.37</f>
        <v>5028.37</v>
      </c>
      <c r="AV73" s="5">
        <f t="shared" si="76"/>
        <v>-5028.37</v>
      </c>
      <c r="AW73" s="9">
        <f t="shared" si="77"/>
        <v>0</v>
      </c>
      <c r="AX73" s="5">
        <f t="shared" si="78"/>
        <v>53327.539999999994</v>
      </c>
      <c r="AY73" s="5">
        <v>60340.000000000015</v>
      </c>
      <c r="AZ73" s="5">
        <f t="shared" si="79"/>
        <v>-7012.460000000021</v>
      </c>
      <c r="BA73" s="9">
        <f t="shared" si="80"/>
        <v>0.88378422273781876</v>
      </c>
    </row>
    <row r="74" spans="1:53" x14ac:dyDescent="0.25">
      <c r="A74" s="3" t="s">
        <v>191</v>
      </c>
      <c r="B74" s="5">
        <f>62.64</f>
        <v>62.64</v>
      </c>
      <c r="C74" s="4"/>
      <c r="D74" s="5">
        <f t="shared" si="54"/>
        <v>62.64</v>
      </c>
      <c r="E74" s="9" t="str">
        <f t="shared" si="55"/>
        <v/>
      </c>
      <c r="F74" s="5">
        <f>62.64</f>
        <v>62.64</v>
      </c>
      <c r="G74" s="4"/>
      <c r="H74" s="5">
        <f t="shared" si="56"/>
        <v>62.64</v>
      </c>
      <c r="I74" s="9" t="str">
        <f t="shared" si="57"/>
        <v/>
      </c>
      <c r="J74" s="5">
        <f>65.67</f>
        <v>65.67</v>
      </c>
      <c r="K74" s="4"/>
      <c r="L74" s="5">
        <f t="shared" si="58"/>
        <v>65.67</v>
      </c>
      <c r="M74" s="9" t="str">
        <f t="shared" si="59"/>
        <v/>
      </c>
      <c r="N74" s="5">
        <f>65.67</f>
        <v>65.67</v>
      </c>
      <c r="O74" s="4"/>
      <c r="P74" s="5">
        <f t="shared" si="60"/>
        <v>65.67</v>
      </c>
      <c r="Q74" s="9" t="str">
        <f t="shared" si="61"/>
        <v/>
      </c>
      <c r="R74" s="4"/>
      <c r="S74" s="4"/>
      <c r="T74" s="5">
        <f t="shared" si="62"/>
        <v>0</v>
      </c>
      <c r="U74" s="9" t="str">
        <f t="shared" si="63"/>
        <v/>
      </c>
      <c r="V74" s="5">
        <f>65.67</f>
        <v>65.67</v>
      </c>
      <c r="W74" s="4"/>
      <c r="X74" s="5">
        <f t="shared" si="64"/>
        <v>65.67</v>
      </c>
      <c r="Y74" s="9" t="str">
        <f t="shared" si="65"/>
        <v/>
      </c>
      <c r="Z74" s="5">
        <f>65.67</f>
        <v>65.67</v>
      </c>
      <c r="AA74" s="4"/>
      <c r="AB74" s="5">
        <f t="shared" si="66"/>
        <v>65.67</v>
      </c>
      <c r="AC74" s="9" t="str">
        <f t="shared" si="67"/>
        <v/>
      </c>
      <c r="AD74" s="4"/>
      <c r="AE74" s="4"/>
      <c r="AF74" s="5">
        <f t="shared" si="68"/>
        <v>0</v>
      </c>
      <c r="AG74" s="9" t="str">
        <f t="shared" si="69"/>
        <v/>
      </c>
      <c r="AH74" s="4"/>
      <c r="AI74" s="4"/>
      <c r="AJ74" s="5">
        <f t="shared" si="70"/>
        <v>0</v>
      </c>
      <c r="AK74" s="9" t="str">
        <f t="shared" si="71"/>
        <v/>
      </c>
      <c r="AL74" s="107"/>
      <c r="AM74" s="107"/>
      <c r="AN74" s="108">
        <f t="shared" si="72"/>
        <v>0</v>
      </c>
      <c r="AO74" s="109" t="str">
        <f t="shared" si="73"/>
        <v/>
      </c>
      <c r="AP74" s="4"/>
      <c r="AQ74" s="4"/>
      <c r="AR74" s="5">
        <f t="shared" si="74"/>
        <v>0</v>
      </c>
      <c r="AS74" s="9" t="str">
        <f t="shared" si="75"/>
        <v/>
      </c>
      <c r="AT74" s="4"/>
      <c r="AU74" s="4"/>
      <c r="AV74" s="5">
        <f t="shared" si="76"/>
        <v>0</v>
      </c>
      <c r="AW74" s="9" t="str">
        <f t="shared" si="77"/>
        <v/>
      </c>
      <c r="AX74" s="5">
        <f t="shared" si="78"/>
        <v>387.96000000000004</v>
      </c>
      <c r="AY74" s="5">
        <v>0</v>
      </c>
      <c r="AZ74" s="5">
        <f t="shared" si="79"/>
        <v>387.96000000000004</v>
      </c>
      <c r="BA74" s="9" t="str">
        <f t="shared" si="80"/>
        <v/>
      </c>
    </row>
    <row r="75" spans="1:53" x14ac:dyDescent="0.25">
      <c r="A75" s="3" t="s">
        <v>190</v>
      </c>
      <c r="B75" s="4"/>
      <c r="C75" s="4"/>
      <c r="D75" s="5">
        <f t="shared" si="54"/>
        <v>0</v>
      </c>
      <c r="E75" s="9" t="str">
        <f t="shared" si="55"/>
        <v/>
      </c>
      <c r="F75" s="4"/>
      <c r="G75" s="4"/>
      <c r="H75" s="5">
        <f t="shared" si="56"/>
        <v>0</v>
      </c>
      <c r="I75" s="9" t="str">
        <f t="shared" si="57"/>
        <v/>
      </c>
      <c r="J75" s="4"/>
      <c r="K75" s="4"/>
      <c r="L75" s="5">
        <f t="shared" si="58"/>
        <v>0</v>
      </c>
      <c r="M75" s="9" t="str">
        <f t="shared" si="59"/>
        <v/>
      </c>
      <c r="N75" s="4"/>
      <c r="O75" s="4"/>
      <c r="P75" s="5">
        <f t="shared" si="60"/>
        <v>0</v>
      </c>
      <c r="Q75" s="9" t="str">
        <f t="shared" si="61"/>
        <v/>
      </c>
      <c r="R75" s="4"/>
      <c r="S75" s="4"/>
      <c r="T75" s="5">
        <f t="shared" si="62"/>
        <v>0</v>
      </c>
      <c r="U75" s="9" t="str">
        <f t="shared" si="63"/>
        <v/>
      </c>
      <c r="V75" s="4"/>
      <c r="W75" s="4"/>
      <c r="X75" s="5">
        <f t="shared" si="64"/>
        <v>0</v>
      </c>
      <c r="Y75" s="9" t="str">
        <f t="shared" si="65"/>
        <v/>
      </c>
      <c r="Z75" s="4"/>
      <c r="AA75" s="4"/>
      <c r="AB75" s="5">
        <f t="shared" si="66"/>
        <v>0</v>
      </c>
      <c r="AC75" s="9" t="str">
        <f t="shared" si="67"/>
        <v/>
      </c>
      <c r="AD75" s="4"/>
      <c r="AE75" s="4"/>
      <c r="AF75" s="5">
        <f t="shared" si="68"/>
        <v>0</v>
      </c>
      <c r="AG75" s="9" t="str">
        <f t="shared" si="69"/>
        <v/>
      </c>
      <c r="AH75" s="4"/>
      <c r="AI75" s="4"/>
      <c r="AJ75" s="5">
        <f t="shared" si="70"/>
        <v>0</v>
      </c>
      <c r="AK75" s="9" t="str">
        <f t="shared" si="71"/>
        <v/>
      </c>
      <c r="AL75" s="108">
        <f>-301.7</f>
        <v>-301.7</v>
      </c>
      <c r="AM75" s="107"/>
      <c r="AN75" s="108">
        <f t="shared" si="72"/>
        <v>-301.7</v>
      </c>
      <c r="AO75" s="109" t="str">
        <f t="shared" si="73"/>
        <v/>
      </c>
      <c r="AP75" s="4"/>
      <c r="AQ75" s="4"/>
      <c r="AR75" s="5">
        <f t="shared" si="74"/>
        <v>0</v>
      </c>
      <c r="AS75" s="9" t="str">
        <f t="shared" si="75"/>
        <v/>
      </c>
      <c r="AT75" s="4"/>
      <c r="AU75" s="4"/>
      <c r="AV75" s="5">
        <f t="shared" si="76"/>
        <v>0</v>
      </c>
      <c r="AW75" s="9" t="str">
        <f t="shared" si="77"/>
        <v/>
      </c>
      <c r="AX75" s="5">
        <f t="shared" si="78"/>
        <v>-301.7</v>
      </c>
      <c r="AY75" s="5">
        <v>0</v>
      </c>
      <c r="AZ75" s="5">
        <f t="shared" si="79"/>
        <v>-301.7</v>
      </c>
      <c r="BA75" s="9" t="str">
        <f t="shared" si="80"/>
        <v/>
      </c>
    </row>
    <row r="76" spans="1:53" x14ac:dyDescent="0.25">
      <c r="A76" s="3" t="s">
        <v>189</v>
      </c>
      <c r="B76" s="4"/>
      <c r="C76" s="4"/>
      <c r="D76" s="5">
        <f t="shared" si="54"/>
        <v>0</v>
      </c>
      <c r="E76" s="9" t="str">
        <f t="shared" si="55"/>
        <v/>
      </c>
      <c r="F76" s="4"/>
      <c r="G76" s="4"/>
      <c r="H76" s="5">
        <f t="shared" si="56"/>
        <v>0</v>
      </c>
      <c r="I76" s="9" t="str">
        <f t="shared" si="57"/>
        <v/>
      </c>
      <c r="J76" s="4"/>
      <c r="K76" s="4"/>
      <c r="L76" s="5">
        <f t="shared" si="58"/>
        <v>0</v>
      </c>
      <c r="M76" s="9" t="str">
        <f t="shared" si="59"/>
        <v/>
      </c>
      <c r="N76" s="4"/>
      <c r="O76" s="4"/>
      <c r="P76" s="5">
        <f t="shared" si="60"/>
        <v>0</v>
      </c>
      <c r="Q76" s="9" t="str">
        <f t="shared" si="61"/>
        <v/>
      </c>
      <c r="R76" s="5">
        <f>35.77</f>
        <v>35.770000000000003</v>
      </c>
      <c r="S76" s="4"/>
      <c r="T76" s="5">
        <f t="shared" si="62"/>
        <v>35.770000000000003</v>
      </c>
      <c r="U76" s="9" t="str">
        <f t="shared" si="63"/>
        <v/>
      </c>
      <c r="V76" s="4"/>
      <c r="W76" s="4"/>
      <c r="X76" s="5">
        <f t="shared" si="64"/>
        <v>0</v>
      </c>
      <c r="Y76" s="9" t="str">
        <f t="shared" si="65"/>
        <v/>
      </c>
      <c r="Z76" s="4"/>
      <c r="AA76" s="4"/>
      <c r="AB76" s="5">
        <f t="shared" si="66"/>
        <v>0</v>
      </c>
      <c r="AC76" s="9" t="str">
        <f t="shared" si="67"/>
        <v/>
      </c>
      <c r="AD76" s="4"/>
      <c r="AE76" s="4"/>
      <c r="AF76" s="5">
        <f t="shared" si="68"/>
        <v>0</v>
      </c>
      <c r="AG76" s="9" t="str">
        <f t="shared" si="69"/>
        <v/>
      </c>
      <c r="AH76" s="4"/>
      <c r="AI76" s="4"/>
      <c r="AJ76" s="5">
        <f t="shared" si="70"/>
        <v>0</v>
      </c>
      <c r="AK76" s="9" t="str">
        <f t="shared" si="71"/>
        <v/>
      </c>
      <c r="AL76" s="108">
        <f>8533.41</f>
        <v>8533.41</v>
      </c>
      <c r="AM76" s="107"/>
      <c r="AN76" s="108">
        <f t="shared" si="72"/>
        <v>8533.41</v>
      </c>
      <c r="AO76" s="109" t="str">
        <f t="shared" si="73"/>
        <v/>
      </c>
      <c r="AP76" s="4"/>
      <c r="AQ76" s="4"/>
      <c r="AR76" s="5">
        <f t="shared" si="74"/>
        <v>0</v>
      </c>
      <c r="AS76" s="9" t="str">
        <f t="shared" si="75"/>
        <v/>
      </c>
      <c r="AT76" s="5">
        <f>11442.02</f>
        <v>11442.02</v>
      </c>
      <c r="AU76" s="4"/>
      <c r="AV76" s="5">
        <f t="shared" si="76"/>
        <v>11442.02</v>
      </c>
      <c r="AW76" s="9" t="str">
        <f t="shared" si="77"/>
        <v/>
      </c>
      <c r="AX76" s="5">
        <f t="shared" si="78"/>
        <v>20011.2</v>
      </c>
      <c r="AY76" s="5">
        <v>0</v>
      </c>
      <c r="AZ76" s="5">
        <f t="shared" si="79"/>
        <v>20011.2</v>
      </c>
      <c r="BA76" s="9" t="str">
        <f t="shared" si="80"/>
        <v/>
      </c>
    </row>
    <row r="77" spans="1:53" x14ac:dyDescent="0.25">
      <c r="A77" s="3" t="s">
        <v>188</v>
      </c>
      <c r="B77" s="4"/>
      <c r="C77" s="4"/>
      <c r="D77" s="5">
        <f t="shared" si="54"/>
        <v>0</v>
      </c>
      <c r="E77" s="9" t="str">
        <f t="shared" si="55"/>
        <v/>
      </c>
      <c r="F77" s="4"/>
      <c r="G77" s="4"/>
      <c r="H77" s="5">
        <f t="shared" si="56"/>
        <v>0</v>
      </c>
      <c r="I77" s="9" t="str">
        <f t="shared" si="57"/>
        <v/>
      </c>
      <c r="J77" s="5">
        <f>556.46</f>
        <v>556.46</v>
      </c>
      <c r="K77" s="4"/>
      <c r="L77" s="5">
        <f t="shared" si="58"/>
        <v>556.46</v>
      </c>
      <c r="M77" s="9" t="str">
        <f t="shared" si="59"/>
        <v/>
      </c>
      <c r="N77" s="4"/>
      <c r="O77" s="4"/>
      <c r="P77" s="5">
        <f t="shared" si="60"/>
        <v>0</v>
      </c>
      <c r="Q77" s="9" t="str">
        <f t="shared" si="61"/>
        <v/>
      </c>
      <c r="R77" s="4"/>
      <c r="S77" s="4"/>
      <c r="T77" s="5">
        <f t="shared" si="62"/>
        <v>0</v>
      </c>
      <c r="U77" s="9" t="str">
        <f t="shared" si="63"/>
        <v/>
      </c>
      <c r="V77" s="4"/>
      <c r="W77" s="4"/>
      <c r="X77" s="5">
        <f t="shared" si="64"/>
        <v>0</v>
      </c>
      <c r="Y77" s="9" t="str">
        <f t="shared" si="65"/>
        <v/>
      </c>
      <c r="Z77" s="4"/>
      <c r="AA77" s="4"/>
      <c r="AB77" s="5">
        <f t="shared" si="66"/>
        <v>0</v>
      </c>
      <c r="AC77" s="9" t="str">
        <f t="shared" si="67"/>
        <v/>
      </c>
      <c r="AD77" s="4"/>
      <c r="AE77" s="4"/>
      <c r="AF77" s="5">
        <f t="shared" si="68"/>
        <v>0</v>
      </c>
      <c r="AG77" s="9" t="str">
        <f t="shared" si="69"/>
        <v/>
      </c>
      <c r="AH77" s="4"/>
      <c r="AI77" s="4"/>
      <c r="AJ77" s="5">
        <f t="shared" si="70"/>
        <v>0</v>
      </c>
      <c r="AK77" s="9" t="str">
        <f t="shared" si="71"/>
        <v/>
      </c>
      <c r="AL77" s="107"/>
      <c r="AM77" s="107"/>
      <c r="AN77" s="108">
        <f t="shared" si="72"/>
        <v>0</v>
      </c>
      <c r="AO77" s="109" t="str">
        <f t="shared" si="73"/>
        <v/>
      </c>
      <c r="AP77" s="4"/>
      <c r="AQ77" s="4"/>
      <c r="AR77" s="5">
        <f t="shared" si="74"/>
        <v>0</v>
      </c>
      <c r="AS77" s="9" t="str">
        <f t="shared" si="75"/>
        <v/>
      </c>
      <c r="AT77" s="4"/>
      <c r="AU77" s="4"/>
      <c r="AV77" s="5">
        <f t="shared" si="76"/>
        <v>0</v>
      </c>
      <c r="AW77" s="9" t="str">
        <f t="shared" si="77"/>
        <v/>
      </c>
      <c r="AX77" s="5">
        <f t="shared" si="78"/>
        <v>556.46</v>
      </c>
      <c r="AY77" s="5">
        <v>0</v>
      </c>
      <c r="AZ77" s="5">
        <f t="shared" si="79"/>
        <v>556.46</v>
      </c>
      <c r="BA77" s="9" t="str">
        <f t="shared" si="80"/>
        <v/>
      </c>
    </row>
    <row r="78" spans="1:53" x14ac:dyDescent="0.25">
      <c r="A78" s="3" t="s">
        <v>187</v>
      </c>
      <c r="B78" s="7">
        <f>(((((B72)+(B73))+(B74))+(B75))+(B76))+(B77)</f>
        <v>5090.9800000000005</v>
      </c>
      <c r="C78" s="7">
        <f>(((((C72)+(C73))+(C74))+(C75))+(C76))+(C77)</f>
        <v>5028.33</v>
      </c>
      <c r="D78" s="7">
        <f t="shared" si="54"/>
        <v>62.650000000000546</v>
      </c>
      <c r="E78" s="8">
        <f t="shared" si="55"/>
        <v>1.0124594050112066</v>
      </c>
      <c r="F78" s="7">
        <f>(((((F72)+(F73))+(F74))+(F75))+(F76))+(F77)</f>
        <v>5090.9800000000005</v>
      </c>
      <c r="G78" s="7">
        <f>(((((G72)+(G73))+(G74))+(G75))+(G76))+(G77)</f>
        <v>5028.33</v>
      </c>
      <c r="H78" s="7">
        <f t="shared" si="56"/>
        <v>62.650000000000546</v>
      </c>
      <c r="I78" s="8">
        <f t="shared" si="57"/>
        <v>1.0124594050112066</v>
      </c>
      <c r="J78" s="7">
        <f>(((((J72)+(J73))+(J74))+(J75))+(J76))+(J77)</f>
        <v>5650.47</v>
      </c>
      <c r="K78" s="7">
        <f>(((((K72)+(K73))+(K74))+(K75))+(K76))+(K77)</f>
        <v>5028.33</v>
      </c>
      <c r="L78" s="7">
        <f t="shared" si="58"/>
        <v>622.14000000000033</v>
      </c>
      <c r="M78" s="8">
        <f t="shared" si="59"/>
        <v>1.1237269630274864</v>
      </c>
      <c r="N78" s="7">
        <f>(((((N72)+(N73))+(N74))+(N75))+(N76))+(N77)</f>
        <v>5094.01</v>
      </c>
      <c r="O78" s="7">
        <f>(((((O72)+(O73))+(O74))+(O75))+(O76))+(O77)</f>
        <v>5028.33</v>
      </c>
      <c r="P78" s="7">
        <f t="shared" si="60"/>
        <v>65.680000000000291</v>
      </c>
      <c r="Q78" s="8">
        <f t="shared" si="61"/>
        <v>1.013061990760352</v>
      </c>
      <c r="R78" s="7">
        <f>(((((R72)+(R73))+(R74))+(R75))+(R76))+(R77)</f>
        <v>5064.1100000000006</v>
      </c>
      <c r="S78" s="7">
        <f>(((((S72)+(S73))+(S74))+(S75))+(S76))+(S77)</f>
        <v>5028.33</v>
      </c>
      <c r="T78" s="7">
        <f t="shared" si="62"/>
        <v>35.780000000000655</v>
      </c>
      <c r="U78" s="8">
        <f t="shared" si="63"/>
        <v>1.0071156825427132</v>
      </c>
      <c r="V78" s="7">
        <f>(((((V72)+(V73))+(V74))+(V75))+(V76))+(V77)</f>
        <v>5094.01</v>
      </c>
      <c r="W78" s="7">
        <f>(((((W72)+(W73))+(W74))+(W75))+(W76))+(W77)</f>
        <v>5028.33</v>
      </c>
      <c r="X78" s="7">
        <f t="shared" si="64"/>
        <v>65.680000000000291</v>
      </c>
      <c r="Y78" s="8">
        <f t="shared" si="65"/>
        <v>1.013061990760352</v>
      </c>
      <c r="Z78" s="7">
        <f>(((((Z72)+(Z73))+(Z74))+(Z75))+(Z76))+(Z77)</f>
        <v>7123.4400000000005</v>
      </c>
      <c r="AA78" s="7">
        <f>(((((AA72)+(AA73))+(AA74))+(AA75))+(AA76))+(AA77)</f>
        <v>5028.33</v>
      </c>
      <c r="AB78" s="7">
        <f t="shared" si="66"/>
        <v>2095.1100000000006</v>
      </c>
      <c r="AC78" s="8">
        <f t="shared" si="67"/>
        <v>1.4166611976540919</v>
      </c>
      <c r="AD78" s="7">
        <f>(((((AD72)+(AD73))+(AD74))+(AD75))+(AD76))+(AD77)</f>
        <v>5028.34</v>
      </c>
      <c r="AE78" s="7">
        <f>(((((AE72)+(AE73))+(AE74))+(AE75))+(AE76))+(AE77)</f>
        <v>5028.33</v>
      </c>
      <c r="AF78" s="7">
        <f t="shared" si="68"/>
        <v>1.0000000000218279E-2</v>
      </c>
      <c r="AG78" s="8">
        <f t="shared" si="69"/>
        <v>1.0000019887318454</v>
      </c>
      <c r="AH78" s="7">
        <f>(((((AH72)+(AH73))+(AH74))+(AH75))+(AH76))+(AH77)</f>
        <v>6043.05</v>
      </c>
      <c r="AI78" s="7">
        <f>(((((AI72)+(AI73))+(AI74))+(AI75))+(AI76))+(AI77)</f>
        <v>5028.33</v>
      </c>
      <c r="AJ78" s="7">
        <f t="shared" si="70"/>
        <v>1014.7200000000003</v>
      </c>
      <c r="AK78" s="8">
        <f t="shared" si="71"/>
        <v>1.2018005978127928</v>
      </c>
      <c r="AL78" s="110">
        <f>(((((AL72)+(AL73))+(AL74))+(AL75))+(AL76))+(AL77)</f>
        <v>13260.05</v>
      </c>
      <c r="AM78" s="110">
        <f>(((((AM72)+(AM73))+(AM74))+(AM75))+(AM76))+(AM77)</f>
        <v>5028.33</v>
      </c>
      <c r="AN78" s="110">
        <f t="shared" si="72"/>
        <v>8231.7199999999993</v>
      </c>
      <c r="AO78" s="111">
        <f t="shared" si="73"/>
        <v>2.6370683706121119</v>
      </c>
      <c r="AP78" s="7">
        <f>(((((AP72)+(AP73))+(AP74))+(AP75))+(AP76))+(AP77)</f>
        <v>0</v>
      </c>
      <c r="AQ78" s="7">
        <f>(((((AQ72)+(AQ73))+(AQ74))+(AQ75))+(AQ76))+(AQ77)</f>
        <v>5028.33</v>
      </c>
      <c r="AR78" s="7">
        <f t="shared" si="74"/>
        <v>-5028.33</v>
      </c>
      <c r="AS78" s="8">
        <f t="shared" si="75"/>
        <v>0</v>
      </c>
      <c r="AT78" s="7">
        <f>(((((AT72)+(AT73))+(AT74))+(AT75))+(AT76))+(AT77)</f>
        <v>11442.02</v>
      </c>
      <c r="AU78" s="7">
        <f>(((((AU72)+(AU73))+(AU74))+(AU75))+(AU76))+(AU77)</f>
        <v>5028.37</v>
      </c>
      <c r="AV78" s="7">
        <f t="shared" si="76"/>
        <v>6413.6500000000005</v>
      </c>
      <c r="AW78" s="8">
        <f t="shared" si="77"/>
        <v>2.2754928535489634</v>
      </c>
      <c r="AX78" s="7">
        <f t="shared" si="78"/>
        <v>73981.460000000021</v>
      </c>
      <c r="AY78" s="7">
        <v>60340.000000000015</v>
      </c>
      <c r="AZ78" s="7">
        <f t="shared" si="79"/>
        <v>13641.460000000006</v>
      </c>
      <c r="BA78" s="8">
        <f t="shared" si="80"/>
        <v>1.2260765661252901</v>
      </c>
    </row>
    <row r="79" spans="1:53" x14ac:dyDescent="0.25">
      <c r="A79" s="3" t="s">
        <v>186</v>
      </c>
      <c r="B79" s="4"/>
      <c r="C79" s="4"/>
      <c r="D79" s="5">
        <f t="shared" si="54"/>
        <v>0</v>
      </c>
      <c r="E79" s="9" t="str">
        <f t="shared" si="55"/>
        <v/>
      </c>
      <c r="F79" s="4"/>
      <c r="G79" s="4"/>
      <c r="H79" s="5">
        <f t="shared" si="56"/>
        <v>0</v>
      </c>
      <c r="I79" s="9" t="str">
        <f t="shared" si="57"/>
        <v/>
      </c>
      <c r="J79" s="4"/>
      <c r="K79" s="4"/>
      <c r="L79" s="5">
        <f t="shared" si="58"/>
        <v>0</v>
      </c>
      <c r="M79" s="9" t="str">
        <f t="shared" si="59"/>
        <v/>
      </c>
      <c r="N79" s="4"/>
      <c r="O79" s="4"/>
      <c r="P79" s="5">
        <f t="shared" si="60"/>
        <v>0</v>
      </c>
      <c r="Q79" s="9" t="str">
        <f t="shared" si="61"/>
        <v/>
      </c>
      <c r="R79" s="4"/>
      <c r="S79" s="4"/>
      <c r="T79" s="5">
        <f t="shared" si="62"/>
        <v>0</v>
      </c>
      <c r="U79" s="9" t="str">
        <f t="shared" si="63"/>
        <v/>
      </c>
      <c r="V79" s="4"/>
      <c r="W79" s="4"/>
      <c r="X79" s="5">
        <f t="shared" si="64"/>
        <v>0</v>
      </c>
      <c r="Y79" s="9" t="str">
        <f t="shared" si="65"/>
        <v/>
      </c>
      <c r="Z79" s="4"/>
      <c r="AA79" s="4"/>
      <c r="AB79" s="5">
        <f t="shared" si="66"/>
        <v>0</v>
      </c>
      <c r="AC79" s="9" t="str">
        <f t="shared" si="67"/>
        <v/>
      </c>
      <c r="AD79" s="4"/>
      <c r="AE79" s="4"/>
      <c r="AF79" s="5">
        <f t="shared" si="68"/>
        <v>0</v>
      </c>
      <c r="AG79" s="9" t="str">
        <f t="shared" si="69"/>
        <v/>
      </c>
      <c r="AH79" s="4"/>
      <c r="AI79" s="4"/>
      <c r="AJ79" s="5">
        <f t="shared" si="70"/>
        <v>0</v>
      </c>
      <c r="AK79" s="9" t="str">
        <f t="shared" si="71"/>
        <v/>
      </c>
      <c r="AL79" s="107"/>
      <c r="AM79" s="107"/>
      <c r="AN79" s="108">
        <f t="shared" si="72"/>
        <v>0</v>
      </c>
      <c r="AO79" s="109" t="str">
        <f t="shared" si="73"/>
        <v/>
      </c>
      <c r="AP79" s="4"/>
      <c r="AQ79" s="4"/>
      <c r="AR79" s="5">
        <f t="shared" si="74"/>
        <v>0</v>
      </c>
      <c r="AS79" s="9" t="str">
        <f t="shared" si="75"/>
        <v/>
      </c>
      <c r="AT79" s="4"/>
      <c r="AU79" s="4"/>
      <c r="AV79" s="5">
        <f t="shared" si="76"/>
        <v>0</v>
      </c>
      <c r="AW79" s="9" t="str">
        <f t="shared" si="77"/>
        <v/>
      </c>
      <c r="AX79" s="5">
        <f t="shared" si="78"/>
        <v>0</v>
      </c>
      <c r="AY79" s="5">
        <v>0</v>
      </c>
      <c r="AZ79" s="5">
        <f t="shared" si="79"/>
        <v>0</v>
      </c>
      <c r="BA79" s="9" t="str">
        <f t="shared" si="80"/>
        <v/>
      </c>
    </row>
    <row r="80" spans="1:53" x14ac:dyDescent="0.25">
      <c r="A80" s="3" t="s">
        <v>185</v>
      </c>
      <c r="B80" s="4"/>
      <c r="C80" s="5">
        <f>3791.58</f>
        <v>3791.58</v>
      </c>
      <c r="D80" s="5">
        <f t="shared" si="54"/>
        <v>-3791.58</v>
      </c>
      <c r="E80" s="9">
        <f t="shared" si="55"/>
        <v>0</v>
      </c>
      <c r="F80" s="4"/>
      <c r="G80" s="5">
        <f>3791.58</f>
        <v>3791.58</v>
      </c>
      <c r="H80" s="5">
        <f t="shared" si="56"/>
        <v>-3791.58</v>
      </c>
      <c r="I80" s="9">
        <f t="shared" si="57"/>
        <v>0</v>
      </c>
      <c r="J80" s="4"/>
      <c r="K80" s="5">
        <f>3791.58</f>
        <v>3791.58</v>
      </c>
      <c r="L80" s="5">
        <f t="shared" si="58"/>
        <v>-3791.58</v>
      </c>
      <c r="M80" s="9">
        <f t="shared" si="59"/>
        <v>0</v>
      </c>
      <c r="N80" s="4"/>
      <c r="O80" s="5">
        <f>3791.58</f>
        <v>3791.58</v>
      </c>
      <c r="P80" s="5">
        <f t="shared" si="60"/>
        <v>-3791.58</v>
      </c>
      <c r="Q80" s="9">
        <f t="shared" si="61"/>
        <v>0</v>
      </c>
      <c r="R80" s="4"/>
      <c r="S80" s="5">
        <f>3791.58</f>
        <v>3791.58</v>
      </c>
      <c r="T80" s="5">
        <f t="shared" si="62"/>
        <v>-3791.58</v>
      </c>
      <c r="U80" s="9">
        <f t="shared" si="63"/>
        <v>0</v>
      </c>
      <c r="V80" s="4"/>
      <c r="W80" s="5">
        <f>3791.58</f>
        <v>3791.58</v>
      </c>
      <c r="X80" s="5">
        <f t="shared" si="64"/>
        <v>-3791.58</v>
      </c>
      <c r="Y80" s="9">
        <f t="shared" si="65"/>
        <v>0</v>
      </c>
      <c r="Z80" s="4"/>
      <c r="AA80" s="5">
        <f>3791.58</f>
        <v>3791.58</v>
      </c>
      <c r="AB80" s="5">
        <f t="shared" si="66"/>
        <v>-3791.58</v>
      </c>
      <c r="AC80" s="9">
        <f t="shared" si="67"/>
        <v>0</v>
      </c>
      <c r="AD80" s="4"/>
      <c r="AE80" s="5">
        <f>3791.58</f>
        <v>3791.58</v>
      </c>
      <c r="AF80" s="5">
        <f t="shared" si="68"/>
        <v>-3791.58</v>
      </c>
      <c r="AG80" s="9">
        <f t="shared" si="69"/>
        <v>0</v>
      </c>
      <c r="AH80" s="4"/>
      <c r="AI80" s="5">
        <f>3791.58</f>
        <v>3791.58</v>
      </c>
      <c r="AJ80" s="5">
        <f t="shared" si="70"/>
        <v>-3791.58</v>
      </c>
      <c r="AK80" s="9">
        <f t="shared" si="71"/>
        <v>0</v>
      </c>
      <c r="AL80" s="107"/>
      <c r="AM80" s="108">
        <f>3791.58</f>
        <v>3791.58</v>
      </c>
      <c r="AN80" s="108">
        <f t="shared" si="72"/>
        <v>-3791.58</v>
      </c>
      <c r="AO80" s="109">
        <f t="shared" si="73"/>
        <v>0</v>
      </c>
      <c r="AP80" s="4"/>
      <c r="AQ80" s="5">
        <f>3791.62</f>
        <v>3791.62</v>
      </c>
      <c r="AR80" s="5">
        <f t="shared" si="74"/>
        <v>-3791.62</v>
      </c>
      <c r="AS80" s="9">
        <f t="shared" si="75"/>
        <v>0</v>
      </c>
      <c r="AT80" s="4"/>
      <c r="AU80" s="5">
        <f>3791.58</f>
        <v>3791.58</v>
      </c>
      <c r="AV80" s="5">
        <f t="shared" si="76"/>
        <v>-3791.58</v>
      </c>
      <c r="AW80" s="9">
        <f t="shared" si="77"/>
        <v>0</v>
      </c>
      <c r="AX80" s="5">
        <f t="shared" si="78"/>
        <v>0</v>
      </c>
      <c r="AY80" s="5">
        <v>45499.000000000015</v>
      </c>
      <c r="AZ80" s="5">
        <f t="shared" si="79"/>
        <v>-45499.000000000015</v>
      </c>
      <c r="BA80" s="9">
        <f t="shared" si="80"/>
        <v>0</v>
      </c>
    </row>
    <row r="81" spans="1:53" x14ac:dyDescent="0.25">
      <c r="A81" s="3" t="s">
        <v>184</v>
      </c>
      <c r="B81" s="5">
        <f>3333.32</f>
        <v>3333.32</v>
      </c>
      <c r="C81" s="5">
        <f>6134.33</f>
        <v>6134.33</v>
      </c>
      <c r="D81" s="5">
        <f t="shared" si="54"/>
        <v>-2801.0099999999998</v>
      </c>
      <c r="E81" s="9">
        <f t="shared" si="55"/>
        <v>0.5433877864412251</v>
      </c>
      <c r="F81" s="5">
        <f>3333.32</f>
        <v>3333.32</v>
      </c>
      <c r="G81" s="5">
        <f>6134.33</f>
        <v>6134.33</v>
      </c>
      <c r="H81" s="5">
        <f t="shared" si="56"/>
        <v>-2801.0099999999998</v>
      </c>
      <c r="I81" s="9">
        <f t="shared" si="57"/>
        <v>0.5433877864412251</v>
      </c>
      <c r="J81" s="5">
        <f>3333.32</f>
        <v>3333.32</v>
      </c>
      <c r="K81" s="5">
        <f>6134.33</f>
        <v>6134.33</v>
      </c>
      <c r="L81" s="5">
        <f t="shared" si="58"/>
        <v>-2801.0099999999998</v>
      </c>
      <c r="M81" s="9">
        <f t="shared" si="59"/>
        <v>0.5433877864412251</v>
      </c>
      <c r="N81" s="5">
        <f>3333.32</f>
        <v>3333.32</v>
      </c>
      <c r="O81" s="5">
        <f>6134.33</f>
        <v>6134.33</v>
      </c>
      <c r="P81" s="5">
        <f t="shared" si="60"/>
        <v>-2801.0099999999998</v>
      </c>
      <c r="Q81" s="9">
        <f t="shared" si="61"/>
        <v>0.5433877864412251</v>
      </c>
      <c r="R81" s="5">
        <f>1083.35</f>
        <v>1083.3499999999999</v>
      </c>
      <c r="S81" s="5">
        <f>6134.33</f>
        <v>6134.33</v>
      </c>
      <c r="T81" s="5">
        <f t="shared" si="62"/>
        <v>-5050.9799999999996</v>
      </c>
      <c r="U81" s="9">
        <f t="shared" si="63"/>
        <v>0.17660445395014612</v>
      </c>
      <c r="V81" s="5">
        <f>0</f>
        <v>0</v>
      </c>
      <c r="W81" s="5">
        <f>6134.33</f>
        <v>6134.33</v>
      </c>
      <c r="X81" s="5">
        <f t="shared" si="64"/>
        <v>-6134.33</v>
      </c>
      <c r="Y81" s="9">
        <f t="shared" si="65"/>
        <v>0</v>
      </c>
      <c r="Z81" s="5">
        <f>3493.14</f>
        <v>3493.14</v>
      </c>
      <c r="AA81" s="5">
        <f>6134.33</f>
        <v>6134.33</v>
      </c>
      <c r="AB81" s="5">
        <f t="shared" si="66"/>
        <v>-2641.19</v>
      </c>
      <c r="AC81" s="9">
        <f t="shared" si="67"/>
        <v>0.56944116146343604</v>
      </c>
      <c r="AD81" s="5">
        <f>3333.32</f>
        <v>3333.32</v>
      </c>
      <c r="AE81" s="5">
        <f>6134.33</f>
        <v>6134.33</v>
      </c>
      <c r="AF81" s="5">
        <f t="shared" si="68"/>
        <v>-2801.0099999999998</v>
      </c>
      <c r="AG81" s="9">
        <f t="shared" si="69"/>
        <v>0.5433877864412251</v>
      </c>
      <c r="AH81" s="5">
        <f>4956.86</f>
        <v>4956.8599999999997</v>
      </c>
      <c r="AI81" s="5">
        <f>6134.33</f>
        <v>6134.33</v>
      </c>
      <c r="AJ81" s="5">
        <f t="shared" si="70"/>
        <v>-1177.4700000000003</v>
      </c>
      <c r="AK81" s="9">
        <f t="shared" si="71"/>
        <v>0.80805238713926375</v>
      </c>
      <c r="AL81" s="108">
        <f>7974.02</f>
        <v>7974.02</v>
      </c>
      <c r="AM81" s="108">
        <f>6134.33</f>
        <v>6134.33</v>
      </c>
      <c r="AN81" s="108">
        <f t="shared" si="72"/>
        <v>1839.6900000000005</v>
      </c>
      <c r="AO81" s="109">
        <f t="shared" si="73"/>
        <v>1.2999007226543078</v>
      </c>
      <c r="AP81" s="4"/>
      <c r="AQ81" s="5">
        <f>6134.36</f>
        <v>6134.36</v>
      </c>
      <c r="AR81" s="5">
        <f t="shared" si="74"/>
        <v>-6134.36</v>
      </c>
      <c r="AS81" s="9">
        <f t="shared" si="75"/>
        <v>0</v>
      </c>
      <c r="AT81" s="4"/>
      <c r="AU81" s="5">
        <f>6134.34</f>
        <v>6134.34</v>
      </c>
      <c r="AV81" s="5">
        <f t="shared" si="76"/>
        <v>-6134.34</v>
      </c>
      <c r="AW81" s="9">
        <f t="shared" si="77"/>
        <v>0</v>
      </c>
      <c r="AX81" s="5">
        <f t="shared" si="78"/>
        <v>34173.97</v>
      </c>
      <c r="AY81" s="5">
        <v>73612</v>
      </c>
      <c r="AZ81" s="5">
        <f t="shared" si="79"/>
        <v>-39438.03</v>
      </c>
      <c r="BA81" s="9">
        <f t="shared" si="80"/>
        <v>0.46424455251861113</v>
      </c>
    </row>
    <row r="82" spans="1:53" x14ac:dyDescent="0.25">
      <c r="A82" s="3" t="s">
        <v>183</v>
      </c>
      <c r="B82" s="4"/>
      <c r="C82" s="4"/>
      <c r="D82" s="5">
        <f t="shared" si="54"/>
        <v>0</v>
      </c>
      <c r="E82" s="9" t="str">
        <f t="shared" si="55"/>
        <v/>
      </c>
      <c r="F82" s="4"/>
      <c r="G82" s="4"/>
      <c r="H82" s="5">
        <f t="shared" si="56"/>
        <v>0</v>
      </c>
      <c r="I82" s="9" t="str">
        <f t="shared" si="57"/>
        <v/>
      </c>
      <c r="J82" s="4"/>
      <c r="K82" s="4"/>
      <c r="L82" s="5">
        <f t="shared" si="58"/>
        <v>0</v>
      </c>
      <c r="M82" s="9" t="str">
        <f t="shared" si="59"/>
        <v/>
      </c>
      <c r="N82" s="4"/>
      <c r="O82" s="4"/>
      <c r="P82" s="5">
        <f t="shared" si="60"/>
        <v>0</v>
      </c>
      <c r="Q82" s="9" t="str">
        <f t="shared" si="61"/>
        <v/>
      </c>
      <c r="R82" s="4"/>
      <c r="S82" s="4"/>
      <c r="T82" s="5">
        <f t="shared" si="62"/>
        <v>0</v>
      </c>
      <c r="U82" s="9" t="str">
        <f t="shared" si="63"/>
        <v/>
      </c>
      <c r="V82" s="4"/>
      <c r="W82" s="4"/>
      <c r="X82" s="5">
        <f t="shared" si="64"/>
        <v>0</v>
      </c>
      <c r="Y82" s="9" t="str">
        <f t="shared" si="65"/>
        <v/>
      </c>
      <c r="Z82" s="5">
        <f>636.52</f>
        <v>636.52</v>
      </c>
      <c r="AA82" s="4"/>
      <c r="AB82" s="5">
        <f t="shared" si="66"/>
        <v>636.52</v>
      </c>
      <c r="AC82" s="9" t="str">
        <f t="shared" si="67"/>
        <v/>
      </c>
      <c r="AD82" s="4"/>
      <c r="AE82" s="4"/>
      <c r="AF82" s="5">
        <f t="shared" si="68"/>
        <v>0</v>
      </c>
      <c r="AG82" s="9" t="str">
        <f t="shared" si="69"/>
        <v/>
      </c>
      <c r="AH82" s="5">
        <f>1287.48</f>
        <v>1287.48</v>
      </c>
      <c r="AI82" s="4"/>
      <c r="AJ82" s="5">
        <f t="shared" si="70"/>
        <v>1287.48</v>
      </c>
      <c r="AK82" s="9" t="str">
        <f t="shared" si="71"/>
        <v/>
      </c>
      <c r="AL82" s="108">
        <f>8654.26</f>
        <v>8654.26</v>
      </c>
      <c r="AM82" s="107"/>
      <c r="AN82" s="108">
        <f t="shared" si="72"/>
        <v>8654.26</v>
      </c>
      <c r="AO82" s="109" t="str">
        <f t="shared" si="73"/>
        <v/>
      </c>
      <c r="AP82" s="4"/>
      <c r="AQ82" s="4"/>
      <c r="AR82" s="5">
        <f t="shared" si="74"/>
        <v>0</v>
      </c>
      <c r="AS82" s="9" t="str">
        <f t="shared" si="75"/>
        <v/>
      </c>
      <c r="AT82" s="4"/>
      <c r="AU82" s="4"/>
      <c r="AV82" s="5">
        <f t="shared" si="76"/>
        <v>0</v>
      </c>
      <c r="AW82" s="9" t="str">
        <f t="shared" si="77"/>
        <v/>
      </c>
      <c r="AX82" s="5">
        <f t="shared" si="78"/>
        <v>10578.26</v>
      </c>
      <c r="AY82" s="5">
        <v>0</v>
      </c>
      <c r="AZ82" s="5">
        <f t="shared" si="79"/>
        <v>10578.26</v>
      </c>
      <c r="BA82" s="9" t="str">
        <f t="shared" si="80"/>
        <v/>
      </c>
    </row>
    <row r="83" spans="1:53" x14ac:dyDescent="0.25">
      <c r="A83" s="3" t="s">
        <v>182</v>
      </c>
      <c r="B83" s="4"/>
      <c r="C83" s="4"/>
      <c r="D83" s="5">
        <f t="shared" si="54"/>
        <v>0</v>
      </c>
      <c r="E83" s="9" t="str">
        <f t="shared" si="55"/>
        <v/>
      </c>
      <c r="F83" s="4"/>
      <c r="G83" s="4"/>
      <c r="H83" s="5">
        <f t="shared" si="56"/>
        <v>0</v>
      </c>
      <c r="I83" s="9" t="str">
        <f t="shared" si="57"/>
        <v/>
      </c>
      <c r="J83" s="4"/>
      <c r="K83" s="4"/>
      <c r="L83" s="5">
        <f t="shared" si="58"/>
        <v>0</v>
      </c>
      <c r="M83" s="9" t="str">
        <f t="shared" si="59"/>
        <v/>
      </c>
      <c r="N83" s="4"/>
      <c r="O83" s="4"/>
      <c r="P83" s="5">
        <f t="shared" si="60"/>
        <v>0</v>
      </c>
      <c r="Q83" s="9" t="str">
        <f t="shared" si="61"/>
        <v/>
      </c>
      <c r="R83" s="4"/>
      <c r="S83" s="4"/>
      <c r="T83" s="5">
        <f t="shared" si="62"/>
        <v>0</v>
      </c>
      <c r="U83" s="9" t="str">
        <f t="shared" si="63"/>
        <v/>
      </c>
      <c r="V83" s="4"/>
      <c r="W83" s="4"/>
      <c r="X83" s="5">
        <f t="shared" si="64"/>
        <v>0</v>
      </c>
      <c r="Y83" s="9" t="str">
        <f t="shared" si="65"/>
        <v/>
      </c>
      <c r="Z83" s="4"/>
      <c r="AA83" s="4"/>
      <c r="AB83" s="5">
        <f t="shared" si="66"/>
        <v>0</v>
      </c>
      <c r="AC83" s="9" t="str">
        <f t="shared" si="67"/>
        <v/>
      </c>
      <c r="AD83" s="5">
        <f>7650.68</f>
        <v>7650.68</v>
      </c>
      <c r="AE83" s="4"/>
      <c r="AF83" s="5">
        <f t="shared" si="68"/>
        <v>7650.68</v>
      </c>
      <c r="AG83" s="9" t="str">
        <f t="shared" si="69"/>
        <v/>
      </c>
      <c r="AH83" s="5">
        <f>5754.42</f>
        <v>5754.42</v>
      </c>
      <c r="AI83" s="4"/>
      <c r="AJ83" s="5">
        <f t="shared" si="70"/>
        <v>5754.42</v>
      </c>
      <c r="AK83" s="9" t="str">
        <f t="shared" si="71"/>
        <v/>
      </c>
      <c r="AL83" s="108">
        <f>-478.44</f>
        <v>-478.44</v>
      </c>
      <c r="AM83" s="107"/>
      <c r="AN83" s="108">
        <f t="shared" si="72"/>
        <v>-478.44</v>
      </c>
      <c r="AO83" s="109" t="str">
        <f t="shared" si="73"/>
        <v/>
      </c>
      <c r="AP83" s="4"/>
      <c r="AQ83" s="4"/>
      <c r="AR83" s="5">
        <f t="shared" si="74"/>
        <v>0</v>
      </c>
      <c r="AS83" s="9" t="str">
        <f t="shared" si="75"/>
        <v/>
      </c>
      <c r="AT83" s="4"/>
      <c r="AU83" s="4"/>
      <c r="AV83" s="5">
        <f t="shared" si="76"/>
        <v>0</v>
      </c>
      <c r="AW83" s="9" t="str">
        <f t="shared" si="77"/>
        <v/>
      </c>
      <c r="AX83" s="5">
        <f t="shared" si="78"/>
        <v>12926.66</v>
      </c>
      <c r="AY83" s="5">
        <v>0</v>
      </c>
      <c r="AZ83" s="5">
        <f t="shared" si="79"/>
        <v>12926.66</v>
      </c>
      <c r="BA83" s="9" t="str">
        <f t="shared" si="80"/>
        <v/>
      </c>
    </row>
    <row r="84" spans="1:53" x14ac:dyDescent="0.25">
      <c r="A84" s="3" t="s">
        <v>181</v>
      </c>
      <c r="B84" s="4"/>
      <c r="C84" s="4"/>
      <c r="D84" s="5">
        <f t="shared" si="54"/>
        <v>0</v>
      </c>
      <c r="E84" s="9" t="str">
        <f t="shared" si="55"/>
        <v/>
      </c>
      <c r="F84" s="4"/>
      <c r="G84" s="4"/>
      <c r="H84" s="5">
        <f t="shared" si="56"/>
        <v>0</v>
      </c>
      <c r="I84" s="9" t="str">
        <f t="shared" si="57"/>
        <v/>
      </c>
      <c r="J84" s="4"/>
      <c r="K84" s="4"/>
      <c r="L84" s="5">
        <f t="shared" si="58"/>
        <v>0</v>
      </c>
      <c r="M84" s="9" t="str">
        <f t="shared" si="59"/>
        <v/>
      </c>
      <c r="N84" s="4"/>
      <c r="O84" s="4"/>
      <c r="P84" s="5">
        <f t="shared" si="60"/>
        <v>0</v>
      </c>
      <c r="Q84" s="9" t="str">
        <f t="shared" si="61"/>
        <v/>
      </c>
      <c r="R84" s="4"/>
      <c r="S84" s="4"/>
      <c r="T84" s="5">
        <f t="shared" si="62"/>
        <v>0</v>
      </c>
      <c r="U84" s="9" t="str">
        <f t="shared" si="63"/>
        <v/>
      </c>
      <c r="V84" s="4"/>
      <c r="W84" s="4"/>
      <c r="X84" s="5">
        <f t="shared" si="64"/>
        <v>0</v>
      </c>
      <c r="Y84" s="9" t="str">
        <f t="shared" si="65"/>
        <v/>
      </c>
      <c r="Z84" s="4"/>
      <c r="AA84" s="4"/>
      <c r="AB84" s="5">
        <f t="shared" si="66"/>
        <v>0</v>
      </c>
      <c r="AC84" s="9" t="str">
        <f t="shared" si="67"/>
        <v/>
      </c>
      <c r="AD84" s="5">
        <f>193.37</f>
        <v>193.37</v>
      </c>
      <c r="AE84" s="4"/>
      <c r="AF84" s="5">
        <f t="shared" si="68"/>
        <v>193.37</v>
      </c>
      <c r="AG84" s="9" t="str">
        <f t="shared" si="69"/>
        <v/>
      </c>
      <c r="AH84" s="4"/>
      <c r="AI84" s="4"/>
      <c r="AJ84" s="5">
        <f t="shared" si="70"/>
        <v>0</v>
      </c>
      <c r="AK84" s="9" t="str">
        <f t="shared" si="71"/>
        <v/>
      </c>
      <c r="AL84" s="107"/>
      <c r="AM84" s="107"/>
      <c r="AN84" s="108">
        <f t="shared" si="72"/>
        <v>0</v>
      </c>
      <c r="AO84" s="109" t="str">
        <f t="shared" si="73"/>
        <v/>
      </c>
      <c r="AP84" s="4"/>
      <c r="AQ84" s="4"/>
      <c r="AR84" s="5">
        <f t="shared" si="74"/>
        <v>0</v>
      </c>
      <c r="AS84" s="9" t="str">
        <f t="shared" si="75"/>
        <v/>
      </c>
      <c r="AT84" s="4"/>
      <c r="AU84" s="4"/>
      <c r="AV84" s="5">
        <f t="shared" si="76"/>
        <v>0</v>
      </c>
      <c r="AW84" s="9" t="str">
        <f t="shared" si="77"/>
        <v/>
      </c>
      <c r="AX84" s="5">
        <f t="shared" si="78"/>
        <v>193.37</v>
      </c>
      <c r="AY84" s="5">
        <v>0</v>
      </c>
      <c r="AZ84" s="5">
        <f t="shared" si="79"/>
        <v>193.37</v>
      </c>
      <c r="BA84" s="9" t="str">
        <f t="shared" si="80"/>
        <v/>
      </c>
    </row>
    <row r="85" spans="1:53" x14ac:dyDescent="0.25">
      <c r="A85" s="3" t="s">
        <v>180</v>
      </c>
      <c r="B85" s="4"/>
      <c r="C85" s="4"/>
      <c r="D85" s="5">
        <f t="shared" si="54"/>
        <v>0</v>
      </c>
      <c r="E85" s="9" t="str">
        <f t="shared" si="55"/>
        <v/>
      </c>
      <c r="F85" s="4"/>
      <c r="G85" s="4"/>
      <c r="H85" s="5">
        <f t="shared" si="56"/>
        <v>0</v>
      </c>
      <c r="I85" s="9" t="str">
        <f t="shared" si="57"/>
        <v/>
      </c>
      <c r="J85" s="4"/>
      <c r="K85" s="4"/>
      <c r="L85" s="5">
        <f t="shared" si="58"/>
        <v>0</v>
      </c>
      <c r="M85" s="9" t="str">
        <f t="shared" si="59"/>
        <v/>
      </c>
      <c r="N85" s="4"/>
      <c r="O85" s="4"/>
      <c r="P85" s="5">
        <f t="shared" si="60"/>
        <v>0</v>
      </c>
      <c r="Q85" s="9" t="str">
        <f t="shared" si="61"/>
        <v/>
      </c>
      <c r="R85" s="4"/>
      <c r="S85" s="4"/>
      <c r="T85" s="5">
        <f t="shared" si="62"/>
        <v>0</v>
      </c>
      <c r="U85" s="9" t="str">
        <f t="shared" si="63"/>
        <v/>
      </c>
      <c r="V85" s="4"/>
      <c r="W85" s="4"/>
      <c r="X85" s="5">
        <f t="shared" si="64"/>
        <v>0</v>
      </c>
      <c r="Y85" s="9" t="str">
        <f t="shared" si="65"/>
        <v/>
      </c>
      <c r="Z85" s="4"/>
      <c r="AA85" s="4"/>
      <c r="AB85" s="5">
        <f t="shared" si="66"/>
        <v>0</v>
      </c>
      <c r="AC85" s="9" t="str">
        <f t="shared" si="67"/>
        <v/>
      </c>
      <c r="AD85" s="5">
        <f>77.87</f>
        <v>77.87</v>
      </c>
      <c r="AE85" s="4"/>
      <c r="AF85" s="5">
        <f t="shared" si="68"/>
        <v>77.87</v>
      </c>
      <c r="AG85" s="9" t="str">
        <f t="shared" si="69"/>
        <v/>
      </c>
      <c r="AH85" s="4"/>
      <c r="AI85" s="4"/>
      <c r="AJ85" s="5">
        <f t="shared" si="70"/>
        <v>0</v>
      </c>
      <c r="AK85" s="9" t="str">
        <f t="shared" si="71"/>
        <v/>
      </c>
      <c r="AL85" s="107"/>
      <c r="AM85" s="107"/>
      <c r="AN85" s="108">
        <f t="shared" si="72"/>
        <v>0</v>
      </c>
      <c r="AO85" s="109" t="str">
        <f t="shared" si="73"/>
        <v/>
      </c>
      <c r="AP85" s="4"/>
      <c r="AQ85" s="4"/>
      <c r="AR85" s="5">
        <f t="shared" si="74"/>
        <v>0</v>
      </c>
      <c r="AS85" s="9" t="str">
        <f t="shared" si="75"/>
        <v/>
      </c>
      <c r="AT85" s="4"/>
      <c r="AU85" s="4"/>
      <c r="AV85" s="5">
        <f t="shared" si="76"/>
        <v>0</v>
      </c>
      <c r="AW85" s="9" t="str">
        <f t="shared" si="77"/>
        <v/>
      </c>
      <c r="AX85" s="5">
        <f t="shared" si="78"/>
        <v>77.87</v>
      </c>
      <c r="AY85" s="5">
        <v>0</v>
      </c>
      <c r="AZ85" s="5">
        <f t="shared" si="79"/>
        <v>77.87</v>
      </c>
      <c r="BA85" s="9" t="str">
        <f t="shared" si="80"/>
        <v/>
      </c>
    </row>
    <row r="86" spans="1:53" x14ac:dyDescent="0.25">
      <c r="A86" s="3" t="s">
        <v>179</v>
      </c>
      <c r="B86" s="4"/>
      <c r="C86" s="4"/>
      <c r="D86" s="5">
        <f t="shared" si="54"/>
        <v>0</v>
      </c>
      <c r="E86" s="9" t="str">
        <f t="shared" si="55"/>
        <v/>
      </c>
      <c r="F86" s="5">
        <f>509.21</f>
        <v>509.21</v>
      </c>
      <c r="G86" s="4"/>
      <c r="H86" s="5">
        <f t="shared" si="56"/>
        <v>509.21</v>
      </c>
      <c r="I86" s="9" t="str">
        <f t="shared" si="57"/>
        <v/>
      </c>
      <c r="J86" s="5">
        <f>165</f>
        <v>165</v>
      </c>
      <c r="K86" s="4"/>
      <c r="L86" s="5">
        <f t="shared" si="58"/>
        <v>165</v>
      </c>
      <c r="M86" s="9" t="str">
        <f t="shared" si="59"/>
        <v/>
      </c>
      <c r="N86" s="5">
        <f>320.41</f>
        <v>320.41000000000003</v>
      </c>
      <c r="O86" s="4"/>
      <c r="P86" s="5">
        <f t="shared" si="60"/>
        <v>320.41000000000003</v>
      </c>
      <c r="Q86" s="9" t="str">
        <f t="shared" si="61"/>
        <v/>
      </c>
      <c r="R86" s="4"/>
      <c r="S86" s="4"/>
      <c r="T86" s="5">
        <f t="shared" si="62"/>
        <v>0</v>
      </c>
      <c r="U86" s="9" t="str">
        <f t="shared" si="63"/>
        <v/>
      </c>
      <c r="V86" s="4"/>
      <c r="W86" s="4"/>
      <c r="X86" s="5">
        <f t="shared" si="64"/>
        <v>0</v>
      </c>
      <c r="Y86" s="9" t="str">
        <f t="shared" si="65"/>
        <v/>
      </c>
      <c r="Z86" s="4"/>
      <c r="AA86" s="4"/>
      <c r="AB86" s="5">
        <f t="shared" si="66"/>
        <v>0</v>
      </c>
      <c r="AC86" s="9" t="str">
        <f t="shared" si="67"/>
        <v/>
      </c>
      <c r="AD86" s="5">
        <f>189.51</f>
        <v>189.51</v>
      </c>
      <c r="AE86" s="4"/>
      <c r="AF86" s="5">
        <f t="shared" si="68"/>
        <v>189.51</v>
      </c>
      <c r="AG86" s="9" t="str">
        <f t="shared" si="69"/>
        <v/>
      </c>
      <c r="AH86" s="5">
        <f>950.29</f>
        <v>950.29</v>
      </c>
      <c r="AI86" s="4"/>
      <c r="AJ86" s="5">
        <f t="shared" si="70"/>
        <v>950.29</v>
      </c>
      <c r="AK86" s="9" t="str">
        <f t="shared" si="71"/>
        <v/>
      </c>
      <c r="AL86" s="108">
        <f>516.98</f>
        <v>516.98</v>
      </c>
      <c r="AM86" s="107"/>
      <c r="AN86" s="108">
        <f t="shared" si="72"/>
        <v>516.98</v>
      </c>
      <c r="AO86" s="109" t="str">
        <f t="shared" si="73"/>
        <v/>
      </c>
      <c r="AP86" s="4"/>
      <c r="AQ86" s="4"/>
      <c r="AR86" s="5">
        <f t="shared" si="74"/>
        <v>0</v>
      </c>
      <c r="AS86" s="9" t="str">
        <f t="shared" si="75"/>
        <v/>
      </c>
      <c r="AT86" s="4"/>
      <c r="AU86" s="4"/>
      <c r="AV86" s="5">
        <f t="shared" si="76"/>
        <v>0</v>
      </c>
      <c r="AW86" s="9" t="str">
        <f t="shared" si="77"/>
        <v/>
      </c>
      <c r="AX86" s="5">
        <f t="shared" si="78"/>
        <v>2651.4</v>
      </c>
      <c r="AY86" s="5">
        <v>0</v>
      </c>
      <c r="AZ86" s="5">
        <f t="shared" si="79"/>
        <v>2651.4</v>
      </c>
      <c r="BA86" s="9" t="str">
        <f t="shared" si="80"/>
        <v/>
      </c>
    </row>
    <row r="87" spans="1:53" x14ac:dyDescent="0.25">
      <c r="A87" s="3" t="s">
        <v>178</v>
      </c>
      <c r="B87" s="4"/>
      <c r="C87" s="4"/>
      <c r="D87" s="5">
        <f t="shared" si="54"/>
        <v>0</v>
      </c>
      <c r="E87" s="9" t="str">
        <f t="shared" si="55"/>
        <v/>
      </c>
      <c r="F87" s="4"/>
      <c r="G87" s="4"/>
      <c r="H87" s="5">
        <f t="shared" si="56"/>
        <v>0</v>
      </c>
      <c r="I87" s="9" t="str">
        <f t="shared" si="57"/>
        <v/>
      </c>
      <c r="J87" s="5">
        <f>30</f>
        <v>30</v>
      </c>
      <c r="K87" s="4"/>
      <c r="L87" s="5">
        <f t="shared" si="58"/>
        <v>30</v>
      </c>
      <c r="M87" s="9" t="str">
        <f t="shared" si="59"/>
        <v/>
      </c>
      <c r="N87" s="4"/>
      <c r="O87" s="4"/>
      <c r="P87" s="5">
        <f t="shared" si="60"/>
        <v>0</v>
      </c>
      <c r="Q87" s="9" t="str">
        <f t="shared" si="61"/>
        <v/>
      </c>
      <c r="R87" s="4"/>
      <c r="S87" s="4"/>
      <c r="T87" s="5">
        <f t="shared" si="62"/>
        <v>0</v>
      </c>
      <c r="U87" s="9" t="str">
        <f t="shared" si="63"/>
        <v/>
      </c>
      <c r="V87" s="4"/>
      <c r="W87" s="4"/>
      <c r="X87" s="5">
        <f t="shared" si="64"/>
        <v>0</v>
      </c>
      <c r="Y87" s="9" t="str">
        <f t="shared" si="65"/>
        <v/>
      </c>
      <c r="Z87" s="5">
        <f>90</f>
        <v>90</v>
      </c>
      <c r="AA87" s="4"/>
      <c r="AB87" s="5">
        <f t="shared" si="66"/>
        <v>90</v>
      </c>
      <c r="AC87" s="9" t="str">
        <f t="shared" si="67"/>
        <v/>
      </c>
      <c r="AD87" s="4"/>
      <c r="AE87" s="4"/>
      <c r="AF87" s="5">
        <f t="shared" si="68"/>
        <v>0</v>
      </c>
      <c r="AG87" s="9" t="str">
        <f t="shared" si="69"/>
        <v/>
      </c>
      <c r="AH87" s="5">
        <f>216.26</f>
        <v>216.26</v>
      </c>
      <c r="AI87" s="4"/>
      <c r="AJ87" s="5">
        <f t="shared" si="70"/>
        <v>216.26</v>
      </c>
      <c r="AK87" s="9" t="str">
        <f t="shared" si="71"/>
        <v/>
      </c>
      <c r="AL87" s="108">
        <f>200</f>
        <v>200</v>
      </c>
      <c r="AM87" s="107"/>
      <c r="AN87" s="108">
        <f t="shared" si="72"/>
        <v>200</v>
      </c>
      <c r="AO87" s="109" t="str">
        <f t="shared" si="73"/>
        <v/>
      </c>
      <c r="AP87" s="5">
        <f>200</f>
        <v>200</v>
      </c>
      <c r="AQ87" s="4"/>
      <c r="AR87" s="5">
        <f t="shared" si="74"/>
        <v>200</v>
      </c>
      <c r="AS87" s="9" t="str">
        <f t="shared" si="75"/>
        <v/>
      </c>
      <c r="AT87" s="4"/>
      <c r="AU87" s="4"/>
      <c r="AV87" s="5">
        <f t="shared" si="76"/>
        <v>0</v>
      </c>
      <c r="AW87" s="9" t="str">
        <f t="shared" si="77"/>
        <v/>
      </c>
      <c r="AX87" s="5">
        <f t="shared" si="78"/>
        <v>736.26</v>
      </c>
      <c r="AY87" s="5">
        <v>0</v>
      </c>
      <c r="AZ87" s="5">
        <f t="shared" si="79"/>
        <v>736.26</v>
      </c>
      <c r="BA87" s="9" t="str">
        <f t="shared" si="80"/>
        <v/>
      </c>
    </row>
    <row r="88" spans="1:53" x14ac:dyDescent="0.25">
      <c r="A88" s="3" t="s">
        <v>177</v>
      </c>
      <c r="B88" s="4"/>
      <c r="C88" s="4"/>
      <c r="D88" s="5">
        <f t="shared" si="54"/>
        <v>0</v>
      </c>
      <c r="E88" s="9" t="str">
        <f t="shared" si="55"/>
        <v/>
      </c>
      <c r="F88" s="4"/>
      <c r="G88" s="4"/>
      <c r="H88" s="5">
        <f t="shared" si="56"/>
        <v>0</v>
      </c>
      <c r="I88" s="9" t="str">
        <f t="shared" si="57"/>
        <v/>
      </c>
      <c r="J88" s="5">
        <f>2854.73</f>
        <v>2854.73</v>
      </c>
      <c r="K88" s="4"/>
      <c r="L88" s="5">
        <f t="shared" si="58"/>
        <v>2854.73</v>
      </c>
      <c r="M88" s="9" t="str">
        <f t="shared" si="59"/>
        <v/>
      </c>
      <c r="N88" s="4"/>
      <c r="O88" s="4"/>
      <c r="P88" s="5">
        <f t="shared" si="60"/>
        <v>0</v>
      </c>
      <c r="Q88" s="9" t="str">
        <f t="shared" si="61"/>
        <v/>
      </c>
      <c r="R88" s="4"/>
      <c r="S88" s="4"/>
      <c r="T88" s="5">
        <f t="shared" si="62"/>
        <v>0</v>
      </c>
      <c r="U88" s="9" t="str">
        <f t="shared" si="63"/>
        <v/>
      </c>
      <c r="V88" s="4"/>
      <c r="W88" s="4"/>
      <c r="X88" s="5">
        <f t="shared" si="64"/>
        <v>0</v>
      </c>
      <c r="Y88" s="9" t="str">
        <f t="shared" si="65"/>
        <v/>
      </c>
      <c r="Z88" s="4"/>
      <c r="AA88" s="4"/>
      <c r="AB88" s="5">
        <f t="shared" si="66"/>
        <v>0</v>
      </c>
      <c r="AC88" s="9" t="str">
        <f t="shared" si="67"/>
        <v/>
      </c>
      <c r="AD88" s="4"/>
      <c r="AE88" s="4"/>
      <c r="AF88" s="5">
        <f t="shared" si="68"/>
        <v>0</v>
      </c>
      <c r="AG88" s="9" t="str">
        <f t="shared" si="69"/>
        <v/>
      </c>
      <c r="AH88" s="4"/>
      <c r="AI88" s="4"/>
      <c r="AJ88" s="5">
        <f t="shared" si="70"/>
        <v>0</v>
      </c>
      <c r="AK88" s="9" t="str">
        <f t="shared" si="71"/>
        <v/>
      </c>
      <c r="AL88" s="107"/>
      <c r="AM88" s="107"/>
      <c r="AN88" s="108">
        <f t="shared" si="72"/>
        <v>0</v>
      </c>
      <c r="AO88" s="109" t="str">
        <f t="shared" si="73"/>
        <v/>
      </c>
      <c r="AP88" s="4"/>
      <c r="AQ88" s="4"/>
      <c r="AR88" s="5">
        <f t="shared" si="74"/>
        <v>0</v>
      </c>
      <c r="AS88" s="9" t="str">
        <f t="shared" si="75"/>
        <v/>
      </c>
      <c r="AT88" s="4"/>
      <c r="AU88" s="4"/>
      <c r="AV88" s="5">
        <f t="shared" si="76"/>
        <v>0</v>
      </c>
      <c r="AW88" s="9" t="str">
        <f t="shared" si="77"/>
        <v/>
      </c>
      <c r="AX88" s="5">
        <f t="shared" si="78"/>
        <v>2854.73</v>
      </c>
      <c r="AY88" s="5">
        <v>0</v>
      </c>
      <c r="AZ88" s="5">
        <f t="shared" si="79"/>
        <v>2854.73</v>
      </c>
      <c r="BA88" s="9" t="str">
        <f t="shared" si="80"/>
        <v/>
      </c>
    </row>
    <row r="89" spans="1:53" x14ac:dyDescent="0.25">
      <c r="A89" s="3" t="s">
        <v>176</v>
      </c>
      <c r="B89" s="4"/>
      <c r="C89" s="4"/>
      <c r="D89" s="5">
        <f t="shared" si="54"/>
        <v>0</v>
      </c>
      <c r="E89" s="9" t="str">
        <f t="shared" si="55"/>
        <v/>
      </c>
      <c r="F89" s="4"/>
      <c r="G89" s="4"/>
      <c r="H89" s="5">
        <f t="shared" si="56"/>
        <v>0</v>
      </c>
      <c r="I89" s="9" t="str">
        <f t="shared" si="57"/>
        <v/>
      </c>
      <c r="J89" s="4"/>
      <c r="K89" s="4"/>
      <c r="L89" s="5">
        <f t="shared" si="58"/>
        <v>0</v>
      </c>
      <c r="M89" s="9" t="str">
        <f t="shared" si="59"/>
        <v/>
      </c>
      <c r="N89" s="4"/>
      <c r="O89" s="4"/>
      <c r="P89" s="5">
        <f t="shared" si="60"/>
        <v>0</v>
      </c>
      <c r="Q89" s="9" t="str">
        <f t="shared" si="61"/>
        <v/>
      </c>
      <c r="R89" s="4"/>
      <c r="S89" s="4"/>
      <c r="T89" s="5">
        <f t="shared" si="62"/>
        <v>0</v>
      </c>
      <c r="U89" s="9" t="str">
        <f t="shared" si="63"/>
        <v/>
      </c>
      <c r="V89" s="4"/>
      <c r="W89" s="4"/>
      <c r="X89" s="5">
        <f t="shared" si="64"/>
        <v>0</v>
      </c>
      <c r="Y89" s="9" t="str">
        <f t="shared" si="65"/>
        <v/>
      </c>
      <c r="Z89" s="4"/>
      <c r="AA89" s="4"/>
      <c r="AB89" s="5">
        <f t="shared" si="66"/>
        <v>0</v>
      </c>
      <c r="AC89" s="9" t="str">
        <f t="shared" si="67"/>
        <v/>
      </c>
      <c r="AD89" s="4"/>
      <c r="AE89" s="4"/>
      <c r="AF89" s="5">
        <f t="shared" si="68"/>
        <v>0</v>
      </c>
      <c r="AG89" s="9" t="str">
        <f t="shared" si="69"/>
        <v/>
      </c>
      <c r="AH89" s="5">
        <f>90</f>
        <v>90</v>
      </c>
      <c r="AI89" s="4"/>
      <c r="AJ89" s="5">
        <f t="shared" si="70"/>
        <v>90</v>
      </c>
      <c r="AK89" s="9" t="str">
        <f t="shared" si="71"/>
        <v/>
      </c>
      <c r="AL89" s="107"/>
      <c r="AM89" s="107"/>
      <c r="AN89" s="108">
        <f t="shared" si="72"/>
        <v>0</v>
      </c>
      <c r="AO89" s="109" t="str">
        <f t="shared" si="73"/>
        <v/>
      </c>
      <c r="AP89" s="4"/>
      <c r="AQ89" s="4"/>
      <c r="AR89" s="5">
        <f t="shared" si="74"/>
        <v>0</v>
      </c>
      <c r="AS89" s="9" t="str">
        <f t="shared" si="75"/>
        <v/>
      </c>
      <c r="AT89" s="4"/>
      <c r="AU89" s="4"/>
      <c r="AV89" s="5">
        <f t="shared" si="76"/>
        <v>0</v>
      </c>
      <c r="AW89" s="9" t="str">
        <f t="shared" si="77"/>
        <v/>
      </c>
      <c r="AX89" s="5">
        <f t="shared" si="78"/>
        <v>90</v>
      </c>
      <c r="AY89" s="5">
        <v>0</v>
      </c>
      <c r="AZ89" s="5">
        <f t="shared" si="79"/>
        <v>90</v>
      </c>
      <c r="BA89" s="9" t="str">
        <f t="shared" si="80"/>
        <v/>
      </c>
    </row>
    <row r="90" spans="1:53" x14ac:dyDescent="0.25">
      <c r="A90" s="3" t="s">
        <v>175</v>
      </c>
      <c r="B90" s="7">
        <f>((((((((((B79)+(B80))+(B81))+(B82))+(B83))+(B84))+(B85))+(B86))+(B87))+(B88))+(B89)</f>
        <v>3333.32</v>
      </c>
      <c r="C90" s="7">
        <f>((((((((((C79)+(C80))+(C81))+(C82))+(C83))+(C84))+(C85))+(C86))+(C87))+(C88))+(C89)</f>
        <v>9925.91</v>
      </c>
      <c r="D90" s="7">
        <f t="shared" si="54"/>
        <v>-6592.59</v>
      </c>
      <c r="E90" s="8">
        <f t="shared" si="55"/>
        <v>0.33582009105462374</v>
      </c>
      <c r="F90" s="7">
        <f>((((((((((F79)+(F80))+(F81))+(F82))+(F83))+(F84))+(F85))+(F86))+(F87))+(F88))+(F89)</f>
        <v>3842.53</v>
      </c>
      <c r="G90" s="7">
        <f>((((((((((G79)+(G80))+(G81))+(G82))+(G83))+(G84))+(G85))+(G86))+(G87))+(G88))+(G89)</f>
        <v>9925.91</v>
      </c>
      <c r="H90" s="7">
        <f t="shared" si="56"/>
        <v>-6083.3799999999992</v>
      </c>
      <c r="I90" s="8">
        <f t="shared" si="57"/>
        <v>0.38712118082876029</v>
      </c>
      <c r="J90" s="7">
        <f>((((((((((J79)+(J80))+(J81))+(J82))+(J83))+(J84))+(J85))+(J86))+(J87))+(J88))+(J89)</f>
        <v>6383.05</v>
      </c>
      <c r="K90" s="7">
        <f>((((((((((K79)+(K80))+(K81))+(K82))+(K83))+(K84))+(K85))+(K86))+(K87))+(K88))+(K89)</f>
        <v>9925.91</v>
      </c>
      <c r="L90" s="7">
        <f t="shared" si="58"/>
        <v>-3542.8599999999997</v>
      </c>
      <c r="M90" s="8">
        <f t="shared" si="59"/>
        <v>0.64306950193987256</v>
      </c>
      <c r="N90" s="7">
        <f>((((((((((N79)+(N80))+(N81))+(N82))+(N83))+(N84))+(N85))+(N86))+(N87))+(N88))+(N89)</f>
        <v>3653.73</v>
      </c>
      <c r="O90" s="7">
        <f>((((((((((O79)+(O80))+(O81))+(O82))+(O83))+(O84))+(O85))+(O86))+(O87))+(O88))+(O89)</f>
        <v>9925.91</v>
      </c>
      <c r="P90" s="7">
        <f t="shared" si="60"/>
        <v>-6272.18</v>
      </c>
      <c r="Q90" s="8">
        <f t="shared" si="61"/>
        <v>0.36810025478772224</v>
      </c>
      <c r="R90" s="7">
        <f>((((((((((R79)+(R80))+(R81))+(R82))+(R83))+(R84))+(R85))+(R86))+(R87))+(R88))+(R89)</f>
        <v>1083.3499999999999</v>
      </c>
      <c r="S90" s="7">
        <f>((((((((((S79)+(S80))+(S81))+(S82))+(S83))+(S84))+(S85))+(S86))+(S87))+(S88))+(S89)</f>
        <v>9925.91</v>
      </c>
      <c r="T90" s="7">
        <f t="shared" si="62"/>
        <v>-8842.56</v>
      </c>
      <c r="U90" s="8">
        <f t="shared" si="63"/>
        <v>0.10914364526778904</v>
      </c>
      <c r="V90" s="7">
        <f>((((((((((V79)+(V80))+(V81))+(V82))+(V83))+(V84))+(V85))+(V86))+(V87))+(V88))+(V89)</f>
        <v>0</v>
      </c>
      <c r="W90" s="7">
        <f>((((((((((W79)+(W80))+(W81))+(W82))+(W83))+(W84))+(W85))+(W86))+(W87))+(W88))+(W89)</f>
        <v>9925.91</v>
      </c>
      <c r="X90" s="7">
        <f t="shared" si="64"/>
        <v>-9925.91</v>
      </c>
      <c r="Y90" s="8">
        <f t="shared" si="65"/>
        <v>0</v>
      </c>
      <c r="Z90" s="7">
        <f>((((((((((Z79)+(Z80))+(Z81))+(Z82))+(Z83))+(Z84))+(Z85))+(Z86))+(Z87))+(Z88))+(Z89)</f>
        <v>4219.66</v>
      </c>
      <c r="AA90" s="7">
        <f>((((((((((AA79)+(AA80))+(AA81))+(AA82))+(AA83))+(AA84))+(AA85))+(AA86))+(AA87))+(AA88))+(AA89)</f>
        <v>9925.91</v>
      </c>
      <c r="AB90" s="7">
        <f t="shared" si="66"/>
        <v>-5706.25</v>
      </c>
      <c r="AC90" s="8">
        <f t="shared" si="67"/>
        <v>0.4251156820885944</v>
      </c>
      <c r="AD90" s="7">
        <f>((((((((((AD79)+(AD80))+(AD81))+(AD82))+(AD83))+(AD84))+(AD85))+(AD86))+(AD87))+(AD88))+(AD89)</f>
        <v>11444.750000000002</v>
      </c>
      <c r="AE90" s="7">
        <f>((((((((((AE79)+(AE80))+(AE81))+(AE82))+(AE83))+(AE84))+(AE85))+(AE86))+(AE87))+(AE88))+(AE89)</f>
        <v>9925.91</v>
      </c>
      <c r="AF90" s="7">
        <f t="shared" si="68"/>
        <v>1518.840000000002</v>
      </c>
      <c r="AG90" s="8">
        <f t="shared" si="69"/>
        <v>1.1530177082000543</v>
      </c>
      <c r="AH90" s="7">
        <f>((((((((((AH79)+(AH80))+(AH81))+(AH82))+(AH83))+(AH84))+(AH85))+(AH86))+(AH87))+(AH88))+(AH89)</f>
        <v>13255.31</v>
      </c>
      <c r="AI90" s="7">
        <f>((((((((((AI79)+(AI80))+(AI81))+(AI82))+(AI83))+(AI84))+(AI85))+(AI86))+(AI87))+(AI88))+(AI89)</f>
        <v>9925.91</v>
      </c>
      <c r="AJ90" s="7">
        <f t="shared" si="70"/>
        <v>3329.3999999999996</v>
      </c>
      <c r="AK90" s="8">
        <f t="shared" si="71"/>
        <v>1.3354251650478395</v>
      </c>
      <c r="AL90" s="110">
        <f>((((((((((AL79)+(AL80))+(AL81))+(AL82))+(AL83))+(AL84))+(AL85))+(AL86))+(AL87))+(AL88))+(AL89)</f>
        <v>16866.82</v>
      </c>
      <c r="AM90" s="110">
        <f>((((((((((AM79)+(AM80))+(AM81))+(AM82))+(AM83))+(AM84))+(AM85))+(AM86))+(AM87))+(AM88))+(AM89)</f>
        <v>9925.91</v>
      </c>
      <c r="AN90" s="110">
        <f t="shared" si="72"/>
        <v>6940.91</v>
      </c>
      <c r="AO90" s="111">
        <f t="shared" si="73"/>
        <v>1.6992719055482066</v>
      </c>
      <c r="AP90" s="7">
        <f>((((((((((AP79)+(AP80))+(AP81))+(AP82))+(AP83))+(AP84))+(AP85))+(AP86))+(AP87))+(AP88))+(AP89)</f>
        <v>200</v>
      </c>
      <c r="AQ90" s="7">
        <f>((((((((((AQ79)+(AQ80))+(AQ81))+(AQ82))+(AQ83))+(AQ84))+(AQ85))+(AQ86))+(AQ87))+(AQ88))+(AQ89)</f>
        <v>9925.98</v>
      </c>
      <c r="AR90" s="7">
        <f t="shared" si="74"/>
        <v>-9725.98</v>
      </c>
      <c r="AS90" s="8">
        <f t="shared" si="75"/>
        <v>2.0149143963618707E-2</v>
      </c>
      <c r="AT90" s="7">
        <f>((((((((((AT79)+(AT80))+(AT81))+(AT82))+(AT83))+(AT84))+(AT85))+(AT86))+(AT87))+(AT88))+(AT89)</f>
        <v>0</v>
      </c>
      <c r="AU90" s="7">
        <f>((((((((((AU79)+(AU80))+(AU81))+(AU82))+(AU83))+(AU84))+(AU85))+(AU86))+(AU87))+(AU88))+(AU89)</f>
        <v>9925.92</v>
      </c>
      <c r="AV90" s="7">
        <f t="shared" si="76"/>
        <v>-9925.92</v>
      </c>
      <c r="AW90" s="8">
        <f t="shared" si="77"/>
        <v>0</v>
      </c>
      <c r="AX90" s="7">
        <f t="shared" si="78"/>
        <v>64282.52</v>
      </c>
      <c r="AY90" s="7">
        <v>119111.00000000001</v>
      </c>
      <c r="AZ90" s="7">
        <f t="shared" si="79"/>
        <v>-54828.480000000018</v>
      </c>
      <c r="BA90" s="8">
        <f t="shared" si="80"/>
        <v>0.53968583925917835</v>
      </c>
    </row>
    <row r="91" spans="1:53" x14ac:dyDescent="0.25">
      <c r="A91" s="3" t="s">
        <v>174</v>
      </c>
      <c r="B91" s="4"/>
      <c r="C91" s="4"/>
      <c r="D91" s="5">
        <f t="shared" si="54"/>
        <v>0</v>
      </c>
      <c r="E91" s="9" t="str">
        <f t="shared" si="55"/>
        <v/>
      </c>
      <c r="F91" s="4"/>
      <c r="G91" s="4"/>
      <c r="H91" s="5">
        <f t="shared" si="56"/>
        <v>0</v>
      </c>
      <c r="I91" s="9" t="str">
        <f t="shared" si="57"/>
        <v/>
      </c>
      <c r="J91" s="4"/>
      <c r="K91" s="4"/>
      <c r="L91" s="5">
        <f t="shared" si="58"/>
        <v>0</v>
      </c>
      <c r="M91" s="9" t="str">
        <f t="shared" si="59"/>
        <v/>
      </c>
      <c r="N91" s="4"/>
      <c r="O91" s="4"/>
      <c r="P91" s="5">
        <f t="shared" si="60"/>
        <v>0</v>
      </c>
      <c r="Q91" s="9" t="str">
        <f t="shared" si="61"/>
        <v/>
      </c>
      <c r="R91" s="4"/>
      <c r="S91" s="4"/>
      <c r="T91" s="5">
        <f t="shared" si="62"/>
        <v>0</v>
      </c>
      <c r="U91" s="9" t="str">
        <f t="shared" si="63"/>
        <v/>
      </c>
      <c r="V91" s="4"/>
      <c r="W91" s="4"/>
      <c r="X91" s="5">
        <f t="shared" si="64"/>
        <v>0</v>
      </c>
      <c r="Y91" s="9" t="str">
        <f t="shared" si="65"/>
        <v/>
      </c>
      <c r="Z91" s="4"/>
      <c r="AA91" s="4"/>
      <c r="AB91" s="5">
        <f t="shared" si="66"/>
        <v>0</v>
      </c>
      <c r="AC91" s="9" t="str">
        <f t="shared" si="67"/>
        <v/>
      </c>
      <c r="AD91" s="4"/>
      <c r="AE91" s="4"/>
      <c r="AF91" s="5">
        <f t="shared" si="68"/>
        <v>0</v>
      </c>
      <c r="AG91" s="9" t="str">
        <f t="shared" si="69"/>
        <v/>
      </c>
      <c r="AH91" s="4"/>
      <c r="AI91" s="4"/>
      <c r="AJ91" s="5">
        <f t="shared" si="70"/>
        <v>0</v>
      </c>
      <c r="AK91" s="9" t="str">
        <f t="shared" si="71"/>
        <v/>
      </c>
      <c r="AL91" s="107"/>
      <c r="AM91" s="107"/>
      <c r="AN91" s="108">
        <f t="shared" si="72"/>
        <v>0</v>
      </c>
      <c r="AO91" s="109" t="str">
        <f t="shared" si="73"/>
        <v/>
      </c>
      <c r="AP91" s="4"/>
      <c r="AQ91" s="4"/>
      <c r="AR91" s="5">
        <f t="shared" si="74"/>
        <v>0</v>
      </c>
      <c r="AS91" s="9" t="str">
        <f t="shared" si="75"/>
        <v/>
      </c>
      <c r="AT91" s="4"/>
      <c r="AU91" s="4"/>
      <c r="AV91" s="5">
        <f t="shared" si="76"/>
        <v>0</v>
      </c>
      <c r="AW91" s="9" t="str">
        <f t="shared" si="77"/>
        <v/>
      </c>
      <c r="AX91" s="5">
        <f t="shared" si="78"/>
        <v>0</v>
      </c>
      <c r="AY91" s="5">
        <v>0</v>
      </c>
      <c r="AZ91" s="5">
        <f t="shared" si="79"/>
        <v>0</v>
      </c>
      <c r="BA91" s="9" t="str">
        <f t="shared" si="80"/>
        <v/>
      </c>
    </row>
    <row r="92" spans="1:53" x14ac:dyDescent="0.25">
      <c r="A92" s="3" t="s">
        <v>173</v>
      </c>
      <c r="B92" s="4"/>
      <c r="C92" s="4"/>
      <c r="D92" s="5">
        <f t="shared" si="54"/>
        <v>0</v>
      </c>
      <c r="E92" s="9" t="str">
        <f t="shared" si="55"/>
        <v/>
      </c>
      <c r="F92" s="4"/>
      <c r="G92" s="4"/>
      <c r="H92" s="5">
        <f t="shared" si="56"/>
        <v>0</v>
      </c>
      <c r="I92" s="9" t="str">
        <f t="shared" si="57"/>
        <v/>
      </c>
      <c r="J92" s="4"/>
      <c r="K92" s="4"/>
      <c r="L92" s="5">
        <f t="shared" si="58"/>
        <v>0</v>
      </c>
      <c r="M92" s="9" t="str">
        <f t="shared" si="59"/>
        <v/>
      </c>
      <c r="N92" s="4"/>
      <c r="O92" s="4"/>
      <c r="P92" s="5">
        <f t="shared" si="60"/>
        <v>0</v>
      </c>
      <c r="Q92" s="9" t="str">
        <f t="shared" si="61"/>
        <v/>
      </c>
      <c r="R92" s="4"/>
      <c r="S92" s="4"/>
      <c r="T92" s="5">
        <f t="shared" si="62"/>
        <v>0</v>
      </c>
      <c r="U92" s="9" t="str">
        <f t="shared" si="63"/>
        <v/>
      </c>
      <c r="V92" s="4"/>
      <c r="W92" s="4"/>
      <c r="X92" s="5">
        <f t="shared" si="64"/>
        <v>0</v>
      </c>
      <c r="Y92" s="9" t="str">
        <f t="shared" si="65"/>
        <v/>
      </c>
      <c r="Z92" s="5">
        <f>5208.34</f>
        <v>5208.34</v>
      </c>
      <c r="AA92" s="4"/>
      <c r="AB92" s="5">
        <f t="shared" si="66"/>
        <v>5208.34</v>
      </c>
      <c r="AC92" s="9" t="str">
        <f t="shared" si="67"/>
        <v/>
      </c>
      <c r="AD92" s="5">
        <f>10416.68</f>
        <v>10416.68</v>
      </c>
      <c r="AE92" s="4"/>
      <c r="AF92" s="5">
        <f t="shared" si="68"/>
        <v>10416.68</v>
      </c>
      <c r="AG92" s="9" t="str">
        <f t="shared" si="69"/>
        <v/>
      </c>
      <c r="AH92" s="5">
        <f>10416.68</f>
        <v>10416.68</v>
      </c>
      <c r="AI92" s="4"/>
      <c r="AJ92" s="5">
        <f t="shared" si="70"/>
        <v>10416.68</v>
      </c>
      <c r="AK92" s="9" t="str">
        <f t="shared" si="71"/>
        <v/>
      </c>
      <c r="AL92" s="108">
        <f>10416.68</f>
        <v>10416.68</v>
      </c>
      <c r="AM92" s="107"/>
      <c r="AN92" s="108">
        <f t="shared" si="72"/>
        <v>10416.68</v>
      </c>
      <c r="AO92" s="109" t="str">
        <f t="shared" si="73"/>
        <v/>
      </c>
      <c r="AP92" s="4"/>
      <c r="AQ92" s="4"/>
      <c r="AR92" s="5">
        <f t="shared" si="74"/>
        <v>0</v>
      </c>
      <c r="AS92" s="9" t="str">
        <f t="shared" si="75"/>
        <v/>
      </c>
      <c r="AT92" s="4"/>
      <c r="AU92" s="4"/>
      <c r="AV92" s="5">
        <f t="shared" si="76"/>
        <v>0</v>
      </c>
      <c r="AW92" s="9" t="str">
        <f t="shared" si="77"/>
        <v/>
      </c>
      <c r="AX92" s="5">
        <f t="shared" si="78"/>
        <v>36458.380000000005</v>
      </c>
      <c r="AY92" s="5">
        <v>0</v>
      </c>
      <c r="AZ92" s="5">
        <f t="shared" si="79"/>
        <v>36458.380000000005</v>
      </c>
      <c r="BA92" s="9" t="str">
        <f t="shared" si="80"/>
        <v/>
      </c>
    </row>
    <row r="93" spans="1:53" x14ac:dyDescent="0.25">
      <c r="A93" s="3" t="s">
        <v>172</v>
      </c>
      <c r="B93" s="5">
        <f>12462.51</f>
        <v>12462.51</v>
      </c>
      <c r="C93" s="5">
        <f>12582.08</f>
        <v>12582.08</v>
      </c>
      <c r="D93" s="5">
        <f t="shared" si="54"/>
        <v>-119.56999999999971</v>
      </c>
      <c r="E93" s="9">
        <f t="shared" si="55"/>
        <v>0.99049680180065625</v>
      </c>
      <c r="F93" s="5">
        <f>14039.78</f>
        <v>14039.78</v>
      </c>
      <c r="G93" s="5">
        <f>12582.08</f>
        <v>12582.08</v>
      </c>
      <c r="H93" s="5">
        <f t="shared" si="56"/>
        <v>1457.7000000000007</v>
      </c>
      <c r="I93" s="9">
        <f t="shared" si="57"/>
        <v>1.1158552480988835</v>
      </c>
      <c r="J93" s="5">
        <f>17164.82</f>
        <v>17164.82</v>
      </c>
      <c r="K93" s="5">
        <f>12582.08</f>
        <v>12582.08</v>
      </c>
      <c r="L93" s="5">
        <f t="shared" si="58"/>
        <v>4582.74</v>
      </c>
      <c r="M93" s="9">
        <f t="shared" si="59"/>
        <v>1.3642275363056029</v>
      </c>
      <c r="N93" s="5">
        <f>6748.16</f>
        <v>6748.16</v>
      </c>
      <c r="O93" s="5">
        <f>12582.08</f>
        <v>12582.08</v>
      </c>
      <c r="P93" s="5">
        <f t="shared" si="60"/>
        <v>-5833.92</v>
      </c>
      <c r="Q93" s="9">
        <f t="shared" si="61"/>
        <v>0.53633103588595843</v>
      </c>
      <c r="R93" s="5">
        <f>6748.16</f>
        <v>6748.16</v>
      </c>
      <c r="S93" s="5">
        <f>12582.08</f>
        <v>12582.08</v>
      </c>
      <c r="T93" s="5">
        <f t="shared" si="62"/>
        <v>-5833.92</v>
      </c>
      <c r="U93" s="9">
        <f t="shared" si="63"/>
        <v>0.53633103588595843</v>
      </c>
      <c r="V93" s="5">
        <f>6748.16</f>
        <v>6748.16</v>
      </c>
      <c r="W93" s="5">
        <f>12582.08</f>
        <v>12582.08</v>
      </c>
      <c r="X93" s="5">
        <f t="shared" si="64"/>
        <v>-5833.92</v>
      </c>
      <c r="Y93" s="9">
        <f t="shared" si="65"/>
        <v>0.53633103588595843</v>
      </c>
      <c r="Z93" s="5">
        <f>8777.59</f>
        <v>8777.59</v>
      </c>
      <c r="AA93" s="5">
        <f>12582.08</f>
        <v>12582.08</v>
      </c>
      <c r="AB93" s="5">
        <f t="shared" si="66"/>
        <v>-3804.49</v>
      </c>
      <c r="AC93" s="9">
        <f t="shared" si="67"/>
        <v>0.69762630662020908</v>
      </c>
      <c r="AD93" s="5">
        <f>6748.16</f>
        <v>6748.16</v>
      </c>
      <c r="AE93" s="5">
        <f>12582.08</f>
        <v>12582.08</v>
      </c>
      <c r="AF93" s="5">
        <f t="shared" si="68"/>
        <v>-5833.92</v>
      </c>
      <c r="AG93" s="9">
        <f t="shared" si="69"/>
        <v>0.53633103588595843</v>
      </c>
      <c r="AH93" s="5">
        <f>7762.87</f>
        <v>7762.87</v>
      </c>
      <c r="AI93" s="5">
        <f>12582.08</f>
        <v>12582.08</v>
      </c>
      <c r="AJ93" s="5">
        <f t="shared" si="70"/>
        <v>-4819.21</v>
      </c>
      <c r="AK93" s="9">
        <f t="shared" si="71"/>
        <v>0.61697827386250925</v>
      </c>
      <c r="AL93" s="108">
        <f>6748.08</f>
        <v>6748.08</v>
      </c>
      <c r="AM93" s="108">
        <f>12582.08</f>
        <v>12582.08</v>
      </c>
      <c r="AN93" s="108">
        <f t="shared" si="72"/>
        <v>-5834</v>
      </c>
      <c r="AO93" s="109">
        <f t="shared" si="73"/>
        <v>0.53632467763676595</v>
      </c>
      <c r="AP93" s="4"/>
      <c r="AQ93" s="5">
        <f>12582</f>
        <v>12582</v>
      </c>
      <c r="AR93" s="5">
        <f t="shared" si="74"/>
        <v>-12582</v>
      </c>
      <c r="AS93" s="9">
        <f t="shared" si="75"/>
        <v>0</v>
      </c>
      <c r="AT93" s="4"/>
      <c r="AU93" s="5">
        <f>12582.2</f>
        <v>12582.2</v>
      </c>
      <c r="AV93" s="5">
        <f t="shared" si="76"/>
        <v>-12582.2</v>
      </c>
      <c r="AW93" s="9">
        <f t="shared" si="77"/>
        <v>0</v>
      </c>
      <c r="AX93" s="5">
        <f t="shared" si="78"/>
        <v>93948.290000000008</v>
      </c>
      <c r="AY93" s="5">
        <v>150985</v>
      </c>
      <c r="AZ93" s="5">
        <f t="shared" si="79"/>
        <v>-57036.709999999992</v>
      </c>
      <c r="BA93" s="9">
        <f t="shared" si="80"/>
        <v>0.62223591747524598</v>
      </c>
    </row>
    <row r="94" spans="1:53" x14ac:dyDescent="0.25">
      <c r="A94" s="3" t="s">
        <v>171</v>
      </c>
      <c r="B94" s="5">
        <f>3125.31</f>
        <v>3125.31</v>
      </c>
      <c r="C94" s="5">
        <f>4595.08</f>
        <v>4595.08</v>
      </c>
      <c r="D94" s="5">
        <f t="shared" si="54"/>
        <v>-1469.77</v>
      </c>
      <c r="E94" s="9">
        <f t="shared" si="55"/>
        <v>0.68014267433864051</v>
      </c>
      <c r="F94" s="5">
        <f>3125.62</f>
        <v>3125.62</v>
      </c>
      <c r="G94" s="5">
        <f>4595.08</f>
        <v>4595.08</v>
      </c>
      <c r="H94" s="5">
        <f t="shared" si="56"/>
        <v>-1469.46</v>
      </c>
      <c r="I94" s="9">
        <f t="shared" si="57"/>
        <v>0.68021013779955952</v>
      </c>
      <c r="J94" s="5">
        <f>4563.12</f>
        <v>4563.12</v>
      </c>
      <c r="K94" s="5">
        <f>4595.08</f>
        <v>4595.08</v>
      </c>
      <c r="L94" s="5">
        <f t="shared" si="58"/>
        <v>-31.960000000000036</v>
      </c>
      <c r="M94" s="9">
        <f t="shared" si="59"/>
        <v>0.99304473480331135</v>
      </c>
      <c r="N94" s="5">
        <f>6000</f>
        <v>6000</v>
      </c>
      <c r="O94" s="5">
        <f>4595.08</f>
        <v>4595.08</v>
      </c>
      <c r="P94" s="5">
        <f t="shared" si="60"/>
        <v>1404.92</v>
      </c>
      <c r="Q94" s="9">
        <f t="shared" si="61"/>
        <v>1.3057444048852251</v>
      </c>
      <c r="R94" s="5">
        <f>4090</f>
        <v>4090</v>
      </c>
      <c r="S94" s="5">
        <f>4595.08</f>
        <v>4595.08</v>
      </c>
      <c r="T94" s="5">
        <f t="shared" si="62"/>
        <v>-505.07999999999993</v>
      </c>
      <c r="U94" s="9">
        <f t="shared" si="63"/>
        <v>0.89008243599676173</v>
      </c>
      <c r="V94" s="5">
        <f>6666.68</f>
        <v>6666.68</v>
      </c>
      <c r="W94" s="5">
        <f>4595.08</f>
        <v>4595.08</v>
      </c>
      <c r="X94" s="5">
        <f t="shared" si="64"/>
        <v>2071.6000000000004</v>
      </c>
      <c r="Y94" s="9">
        <f t="shared" si="65"/>
        <v>1.4508300181933722</v>
      </c>
      <c r="Z94" s="5">
        <f>8696.11</f>
        <v>8696.11</v>
      </c>
      <c r="AA94" s="5">
        <f>4595.08</f>
        <v>4595.08</v>
      </c>
      <c r="AB94" s="5">
        <f t="shared" si="66"/>
        <v>4101.0300000000007</v>
      </c>
      <c r="AC94" s="9">
        <f t="shared" si="67"/>
        <v>1.8924828294610758</v>
      </c>
      <c r="AD94" s="5">
        <f>6666.68</f>
        <v>6666.68</v>
      </c>
      <c r="AE94" s="5">
        <f>4595.08</f>
        <v>4595.08</v>
      </c>
      <c r="AF94" s="5">
        <f t="shared" si="68"/>
        <v>2071.6000000000004</v>
      </c>
      <c r="AG94" s="9">
        <f t="shared" si="69"/>
        <v>1.4508300181933722</v>
      </c>
      <c r="AH94" s="5">
        <f>8746.84</f>
        <v>8746.84</v>
      </c>
      <c r="AI94" s="5">
        <f>4595.08</f>
        <v>4595.08</v>
      </c>
      <c r="AJ94" s="5">
        <f t="shared" si="70"/>
        <v>4151.76</v>
      </c>
      <c r="AK94" s="9">
        <f t="shared" si="71"/>
        <v>1.9035228984043804</v>
      </c>
      <c r="AL94" s="108">
        <f>6666.68</f>
        <v>6666.68</v>
      </c>
      <c r="AM94" s="108">
        <f>4595.08</f>
        <v>4595.08</v>
      </c>
      <c r="AN94" s="108">
        <f t="shared" si="72"/>
        <v>2071.6000000000004</v>
      </c>
      <c r="AO94" s="109">
        <f t="shared" si="73"/>
        <v>1.4508300181933722</v>
      </c>
      <c r="AP94" s="4"/>
      <c r="AQ94" s="5">
        <f>4595.08</f>
        <v>4595.08</v>
      </c>
      <c r="AR94" s="5">
        <f t="shared" si="74"/>
        <v>-4595.08</v>
      </c>
      <c r="AS94" s="9">
        <f t="shared" si="75"/>
        <v>0</v>
      </c>
      <c r="AT94" s="4"/>
      <c r="AU94" s="5">
        <f>4595.12</f>
        <v>4595.12</v>
      </c>
      <c r="AV94" s="5">
        <f t="shared" si="76"/>
        <v>-4595.12</v>
      </c>
      <c r="AW94" s="9">
        <f t="shared" si="77"/>
        <v>0</v>
      </c>
      <c r="AX94" s="5">
        <f t="shared" si="78"/>
        <v>58347.040000000001</v>
      </c>
      <c r="AY94" s="5">
        <v>55141.000000000015</v>
      </c>
      <c r="AZ94" s="5">
        <f t="shared" si="79"/>
        <v>3206.0399999999863</v>
      </c>
      <c r="BA94" s="9">
        <f t="shared" si="80"/>
        <v>1.0581425799314481</v>
      </c>
    </row>
    <row r="95" spans="1:53" x14ac:dyDescent="0.25">
      <c r="A95" s="3" t="s">
        <v>170</v>
      </c>
      <c r="B95" s="4"/>
      <c r="C95" s="5">
        <f>4382.75</f>
        <v>4382.75</v>
      </c>
      <c r="D95" s="5">
        <f t="shared" si="54"/>
        <v>-4382.75</v>
      </c>
      <c r="E95" s="9">
        <f t="shared" si="55"/>
        <v>0</v>
      </c>
      <c r="F95" s="5">
        <f>981.75</f>
        <v>981.75</v>
      </c>
      <c r="G95" s="5">
        <f>4382.75</f>
        <v>4382.75</v>
      </c>
      <c r="H95" s="5">
        <f t="shared" si="56"/>
        <v>-3401</v>
      </c>
      <c r="I95" s="9">
        <f t="shared" si="57"/>
        <v>0.22400319434145227</v>
      </c>
      <c r="J95" s="5">
        <f>1226.5</f>
        <v>1226.5</v>
      </c>
      <c r="K95" s="5">
        <f>4382.75</f>
        <v>4382.75</v>
      </c>
      <c r="L95" s="5">
        <f t="shared" si="58"/>
        <v>-3156.25</v>
      </c>
      <c r="M95" s="9">
        <f t="shared" si="59"/>
        <v>0.2798471279447835</v>
      </c>
      <c r="N95" s="5">
        <f>1311.75</f>
        <v>1311.75</v>
      </c>
      <c r="O95" s="5">
        <f>4382.75</f>
        <v>4382.75</v>
      </c>
      <c r="P95" s="5">
        <f t="shared" si="60"/>
        <v>-3071</v>
      </c>
      <c r="Q95" s="9">
        <f t="shared" si="61"/>
        <v>0.29929838571673034</v>
      </c>
      <c r="R95" s="5">
        <f>1193.5</f>
        <v>1193.5</v>
      </c>
      <c r="S95" s="5">
        <f>4382.75</f>
        <v>4382.75</v>
      </c>
      <c r="T95" s="5">
        <f t="shared" si="62"/>
        <v>-3189.25</v>
      </c>
      <c r="U95" s="9">
        <f t="shared" si="63"/>
        <v>0.2723176088072557</v>
      </c>
      <c r="V95" s="5">
        <f>792</f>
        <v>792</v>
      </c>
      <c r="W95" s="5">
        <f>4382.75</f>
        <v>4382.75</v>
      </c>
      <c r="X95" s="5">
        <f t="shared" si="64"/>
        <v>-3590.75</v>
      </c>
      <c r="Y95" s="9">
        <f t="shared" si="65"/>
        <v>0.1807084593006674</v>
      </c>
      <c r="Z95" s="5">
        <f>1162.92</f>
        <v>1162.92</v>
      </c>
      <c r="AA95" s="5">
        <f>4382.75</f>
        <v>4382.75</v>
      </c>
      <c r="AB95" s="5">
        <f t="shared" si="66"/>
        <v>-3219.83</v>
      </c>
      <c r="AC95" s="9">
        <f t="shared" si="67"/>
        <v>0.26534025440647996</v>
      </c>
      <c r="AD95" s="5">
        <f>1309</f>
        <v>1309</v>
      </c>
      <c r="AE95" s="5">
        <f>4382.75</f>
        <v>4382.75</v>
      </c>
      <c r="AF95" s="5">
        <f t="shared" si="68"/>
        <v>-3073.75</v>
      </c>
      <c r="AG95" s="9">
        <f t="shared" si="69"/>
        <v>0.29867092578860305</v>
      </c>
      <c r="AH95" s="5">
        <f>3266.36</f>
        <v>3266.36</v>
      </c>
      <c r="AI95" s="5">
        <f>4382.75</f>
        <v>4382.75</v>
      </c>
      <c r="AJ95" s="5">
        <f t="shared" si="70"/>
        <v>-1116.3899999999999</v>
      </c>
      <c r="AK95" s="9">
        <f t="shared" si="71"/>
        <v>0.74527636757743432</v>
      </c>
      <c r="AL95" s="108">
        <f>1754.5</f>
        <v>1754.5</v>
      </c>
      <c r="AM95" s="108">
        <f>4382.75</f>
        <v>4382.75</v>
      </c>
      <c r="AN95" s="108">
        <f t="shared" si="72"/>
        <v>-2628.25</v>
      </c>
      <c r="AO95" s="109">
        <f t="shared" si="73"/>
        <v>0.40031943414522847</v>
      </c>
      <c r="AP95" s="4"/>
      <c r="AQ95" s="5">
        <f>4382.75</f>
        <v>4382.75</v>
      </c>
      <c r="AR95" s="5">
        <f t="shared" si="74"/>
        <v>-4382.75</v>
      </c>
      <c r="AS95" s="9">
        <f t="shared" si="75"/>
        <v>0</v>
      </c>
      <c r="AT95" s="4"/>
      <c r="AU95" s="5">
        <f>4382.75</f>
        <v>4382.75</v>
      </c>
      <c r="AV95" s="5">
        <f t="shared" si="76"/>
        <v>-4382.75</v>
      </c>
      <c r="AW95" s="9">
        <f t="shared" si="77"/>
        <v>0</v>
      </c>
      <c r="AX95" s="5">
        <f t="shared" si="78"/>
        <v>12998.28</v>
      </c>
      <c r="AY95" s="5">
        <v>52593</v>
      </c>
      <c r="AZ95" s="5">
        <f t="shared" si="79"/>
        <v>-39594.720000000001</v>
      </c>
      <c r="BA95" s="9">
        <f t="shared" si="80"/>
        <v>0.24714847983571958</v>
      </c>
    </row>
    <row r="96" spans="1:53" x14ac:dyDescent="0.25">
      <c r="A96" s="3" t="s">
        <v>169</v>
      </c>
      <c r="B96" s="5">
        <f>9880.8</f>
        <v>9880.7999999999993</v>
      </c>
      <c r="C96" s="5">
        <f>10089.16</f>
        <v>10089.16</v>
      </c>
      <c r="D96" s="5">
        <f t="shared" si="54"/>
        <v>-208.36000000000058</v>
      </c>
      <c r="E96" s="9">
        <f t="shared" si="55"/>
        <v>0.97934813205460114</v>
      </c>
      <c r="F96" s="5">
        <f>10130.8</f>
        <v>10130.799999999999</v>
      </c>
      <c r="G96" s="5">
        <f>10089.16</f>
        <v>10089.16</v>
      </c>
      <c r="H96" s="5">
        <f t="shared" si="56"/>
        <v>41.639999999999418</v>
      </c>
      <c r="I96" s="9">
        <f t="shared" si="57"/>
        <v>1.0041272018681435</v>
      </c>
      <c r="J96" s="5">
        <f>9880.8</f>
        <v>9880.7999999999993</v>
      </c>
      <c r="K96" s="5">
        <f>10089.16</f>
        <v>10089.16</v>
      </c>
      <c r="L96" s="5">
        <f t="shared" si="58"/>
        <v>-208.36000000000058</v>
      </c>
      <c r="M96" s="9">
        <f t="shared" si="59"/>
        <v>0.97934813205460114</v>
      </c>
      <c r="N96" s="5">
        <f>9880.8</f>
        <v>9880.7999999999993</v>
      </c>
      <c r="O96" s="5">
        <f>10089.16</f>
        <v>10089.16</v>
      </c>
      <c r="P96" s="5">
        <f t="shared" si="60"/>
        <v>-208.36000000000058</v>
      </c>
      <c r="Q96" s="9">
        <f t="shared" si="61"/>
        <v>0.97934813205460114</v>
      </c>
      <c r="R96" s="5">
        <f>10380.8</f>
        <v>10380.799999999999</v>
      </c>
      <c r="S96" s="5">
        <f>10089.16</f>
        <v>10089.16</v>
      </c>
      <c r="T96" s="5">
        <f t="shared" si="62"/>
        <v>291.63999999999942</v>
      </c>
      <c r="U96" s="9">
        <f t="shared" si="63"/>
        <v>1.0289062716816861</v>
      </c>
      <c r="V96" s="5">
        <f>10380.8</f>
        <v>10380.799999999999</v>
      </c>
      <c r="W96" s="5">
        <f>10089.16</f>
        <v>10089.16</v>
      </c>
      <c r="X96" s="5">
        <f t="shared" si="64"/>
        <v>291.63999999999942</v>
      </c>
      <c r="Y96" s="9">
        <f t="shared" si="65"/>
        <v>1.0289062716816861</v>
      </c>
      <c r="Z96" s="5">
        <f>11254.19</f>
        <v>11254.19</v>
      </c>
      <c r="AA96" s="5">
        <f>10089.16</f>
        <v>10089.16</v>
      </c>
      <c r="AB96" s="5">
        <f t="shared" si="66"/>
        <v>1165.0300000000007</v>
      </c>
      <c r="AC96" s="9">
        <f t="shared" si="67"/>
        <v>1.1154734388194856</v>
      </c>
      <c r="AD96" s="5">
        <f>7723.66</f>
        <v>7723.66</v>
      </c>
      <c r="AE96" s="5">
        <f>10089.16</f>
        <v>10089.16</v>
      </c>
      <c r="AF96" s="5">
        <f t="shared" si="68"/>
        <v>-2365.5</v>
      </c>
      <c r="AG96" s="9">
        <f t="shared" si="69"/>
        <v>0.76554044142426125</v>
      </c>
      <c r="AH96" s="5">
        <f>9753.08</f>
        <v>9753.08</v>
      </c>
      <c r="AI96" s="5">
        <f>10089.16</f>
        <v>10089.16</v>
      </c>
      <c r="AJ96" s="5">
        <f t="shared" si="70"/>
        <v>-336.07999999999993</v>
      </c>
      <c r="AK96" s="9">
        <f t="shared" si="71"/>
        <v>0.9666890008682586</v>
      </c>
      <c r="AL96" s="108">
        <f>10123.66</f>
        <v>10123.66</v>
      </c>
      <c r="AM96" s="108">
        <f>10089.16</f>
        <v>10089.16</v>
      </c>
      <c r="AN96" s="108">
        <f t="shared" si="72"/>
        <v>34.5</v>
      </c>
      <c r="AO96" s="109">
        <f t="shared" si="73"/>
        <v>1.0034195116342688</v>
      </c>
      <c r="AP96" s="4"/>
      <c r="AQ96" s="5">
        <f>10089.16</f>
        <v>10089.16</v>
      </c>
      <c r="AR96" s="5">
        <f t="shared" si="74"/>
        <v>-10089.16</v>
      </c>
      <c r="AS96" s="9">
        <f t="shared" si="75"/>
        <v>0</v>
      </c>
      <c r="AT96" s="4"/>
      <c r="AU96" s="5">
        <f>10089.24</f>
        <v>10089.24</v>
      </c>
      <c r="AV96" s="5">
        <f t="shared" si="76"/>
        <v>-10089.24</v>
      </c>
      <c r="AW96" s="9">
        <f t="shared" si="77"/>
        <v>0</v>
      </c>
      <c r="AX96" s="5">
        <f t="shared" si="78"/>
        <v>99389.390000000014</v>
      </c>
      <c r="AY96" s="5">
        <v>121070.00000000003</v>
      </c>
      <c r="AZ96" s="5">
        <f t="shared" si="79"/>
        <v>-21680.610000000015</v>
      </c>
      <c r="BA96" s="9">
        <f t="shared" si="80"/>
        <v>0.82092500206492103</v>
      </c>
    </row>
    <row r="97" spans="1:53" x14ac:dyDescent="0.25">
      <c r="A97" s="3" t="s">
        <v>168</v>
      </c>
      <c r="B97" s="4"/>
      <c r="C97" s="5">
        <f>8229.16</f>
        <v>8229.16</v>
      </c>
      <c r="D97" s="5">
        <f t="shared" si="54"/>
        <v>-8229.16</v>
      </c>
      <c r="E97" s="9">
        <f t="shared" si="55"/>
        <v>0</v>
      </c>
      <c r="F97" s="4"/>
      <c r="G97" s="5">
        <f>8229.16</f>
        <v>8229.16</v>
      </c>
      <c r="H97" s="5">
        <f t="shared" si="56"/>
        <v>-8229.16</v>
      </c>
      <c r="I97" s="9">
        <f t="shared" si="57"/>
        <v>0</v>
      </c>
      <c r="J97" s="4"/>
      <c r="K97" s="5">
        <f>8229.16</f>
        <v>8229.16</v>
      </c>
      <c r="L97" s="5">
        <f t="shared" si="58"/>
        <v>-8229.16</v>
      </c>
      <c r="M97" s="9">
        <f t="shared" si="59"/>
        <v>0</v>
      </c>
      <c r="N97" s="4"/>
      <c r="O97" s="5">
        <f>8229.16</f>
        <v>8229.16</v>
      </c>
      <c r="P97" s="5">
        <f t="shared" si="60"/>
        <v>-8229.16</v>
      </c>
      <c r="Q97" s="9">
        <f t="shared" si="61"/>
        <v>0</v>
      </c>
      <c r="R97" s="4"/>
      <c r="S97" s="5">
        <f>8229.16</f>
        <v>8229.16</v>
      </c>
      <c r="T97" s="5">
        <f t="shared" si="62"/>
        <v>-8229.16</v>
      </c>
      <c r="U97" s="9">
        <f t="shared" si="63"/>
        <v>0</v>
      </c>
      <c r="V97" s="4"/>
      <c r="W97" s="5">
        <f>8229.16</f>
        <v>8229.16</v>
      </c>
      <c r="X97" s="5">
        <f t="shared" si="64"/>
        <v>-8229.16</v>
      </c>
      <c r="Y97" s="9">
        <f t="shared" si="65"/>
        <v>0</v>
      </c>
      <c r="Z97" s="5">
        <f>0</f>
        <v>0</v>
      </c>
      <c r="AA97" s="5">
        <f>8229.16</f>
        <v>8229.16</v>
      </c>
      <c r="AB97" s="5">
        <f t="shared" si="66"/>
        <v>-8229.16</v>
      </c>
      <c r="AC97" s="9">
        <f t="shared" si="67"/>
        <v>0</v>
      </c>
      <c r="AD97" s="5">
        <f>2083.33</f>
        <v>2083.33</v>
      </c>
      <c r="AE97" s="5">
        <f>8229.16</f>
        <v>8229.16</v>
      </c>
      <c r="AF97" s="5">
        <f t="shared" si="68"/>
        <v>-6145.83</v>
      </c>
      <c r="AG97" s="9">
        <f t="shared" si="69"/>
        <v>0.25316435699390943</v>
      </c>
      <c r="AH97" s="5">
        <f>5181.37</f>
        <v>5181.37</v>
      </c>
      <c r="AI97" s="5">
        <f>8229.16</f>
        <v>8229.16</v>
      </c>
      <c r="AJ97" s="5">
        <f t="shared" si="70"/>
        <v>-3047.79</v>
      </c>
      <c r="AK97" s="9">
        <f t="shared" si="71"/>
        <v>0.62963534552736855</v>
      </c>
      <c r="AL97" s="108">
        <f>0</f>
        <v>0</v>
      </c>
      <c r="AM97" s="108">
        <f>8229.16</f>
        <v>8229.16</v>
      </c>
      <c r="AN97" s="108">
        <f t="shared" si="72"/>
        <v>-8229.16</v>
      </c>
      <c r="AO97" s="109">
        <f t="shared" si="73"/>
        <v>0</v>
      </c>
      <c r="AP97" s="4"/>
      <c r="AQ97" s="5">
        <f>8229.12</f>
        <v>8229.1200000000008</v>
      </c>
      <c r="AR97" s="5">
        <f t="shared" si="74"/>
        <v>-8229.1200000000008</v>
      </c>
      <c r="AS97" s="9">
        <f t="shared" si="75"/>
        <v>0</v>
      </c>
      <c r="AT97" s="4"/>
      <c r="AU97" s="5">
        <f>8229.28</f>
        <v>8229.2800000000007</v>
      </c>
      <c r="AV97" s="5">
        <f t="shared" si="76"/>
        <v>-8229.2800000000007</v>
      </c>
      <c r="AW97" s="9">
        <f t="shared" si="77"/>
        <v>0</v>
      </c>
      <c r="AX97" s="5">
        <f t="shared" si="78"/>
        <v>7264.7</v>
      </c>
      <c r="AY97" s="5">
        <v>98750.000000000015</v>
      </c>
      <c r="AZ97" s="5">
        <f t="shared" si="79"/>
        <v>-91485.300000000017</v>
      </c>
      <c r="BA97" s="9">
        <f t="shared" si="80"/>
        <v>7.3566582278480994E-2</v>
      </c>
    </row>
    <row r="98" spans="1:53" x14ac:dyDescent="0.25">
      <c r="A98" s="3" t="s">
        <v>167</v>
      </c>
      <c r="B98" s="5">
        <f>3218</f>
        <v>3218</v>
      </c>
      <c r="C98" s="4"/>
      <c r="D98" s="5">
        <f t="shared" si="54"/>
        <v>3218</v>
      </c>
      <c r="E98" s="9" t="str">
        <f t="shared" si="55"/>
        <v/>
      </c>
      <c r="F98" s="5">
        <f>0</f>
        <v>0</v>
      </c>
      <c r="G98" s="4"/>
      <c r="H98" s="5">
        <f t="shared" si="56"/>
        <v>0</v>
      </c>
      <c r="I98" s="9" t="str">
        <f t="shared" si="57"/>
        <v/>
      </c>
      <c r="J98" s="5">
        <f>0</f>
        <v>0</v>
      </c>
      <c r="K98" s="4"/>
      <c r="L98" s="5">
        <f t="shared" si="58"/>
        <v>0</v>
      </c>
      <c r="M98" s="9" t="str">
        <f t="shared" si="59"/>
        <v/>
      </c>
      <c r="N98" s="5">
        <f>0</f>
        <v>0</v>
      </c>
      <c r="O98" s="4"/>
      <c r="P98" s="5">
        <f t="shared" si="60"/>
        <v>0</v>
      </c>
      <c r="Q98" s="9" t="str">
        <f t="shared" si="61"/>
        <v/>
      </c>
      <c r="R98" s="4"/>
      <c r="S98" s="4"/>
      <c r="T98" s="5">
        <f t="shared" si="62"/>
        <v>0</v>
      </c>
      <c r="U98" s="9" t="str">
        <f t="shared" si="63"/>
        <v/>
      </c>
      <c r="V98" s="4"/>
      <c r="W98" s="4"/>
      <c r="X98" s="5">
        <f t="shared" si="64"/>
        <v>0</v>
      </c>
      <c r="Y98" s="9" t="str">
        <f t="shared" si="65"/>
        <v/>
      </c>
      <c r="Z98" s="4"/>
      <c r="AA98" s="4"/>
      <c r="AB98" s="5">
        <f t="shared" si="66"/>
        <v>0</v>
      </c>
      <c r="AC98" s="9" t="str">
        <f t="shared" si="67"/>
        <v/>
      </c>
      <c r="AD98" s="4"/>
      <c r="AE98" s="4"/>
      <c r="AF98" s="5">
        <f t="shared" si="68"/>
        <v>0</v>
      </c>
      <c r="AG98" s="9" t="str">
        <f t="shared" si="69"/>
        <v/>
      </c>
      <c r="AH98" s="4"/>
      <c r="AI98" s="4"/>
      <c r="AJ98" s="5">
        <f t="shared" si="70"/>
        <v>0</v>
      </c>
      <c r="AK98" s="9" t="str">
        <f t="shared" si="71"/>
        <v/>
      </c>
      <c r="AL98" s="107"/>
      <c r="AM98" s="107"/>
      <c r="AN98" s="108">
        <f t="shared" si="72"/>
        <v>0</v>
      </c>
      <c r="AO98" s="109" t="str">
        <f t="shared" si="73"/>
        <v/>
      </c>
      <c r="AP98" s="4"/>
      <c r="AQ98" s="4"/>
      <c r="AR98" s="5">
        <f t="shared" si="74"/>
        <v>0</v>
      </c>
      <c r="AS98" s="9" t="str">
        <f t="shared" si="75"/>
        <v/>
      </c>
      <c r="AT98" s="4"/>
      <c r="AU98" s="4"/>
      <c r="AV98" s="5">
        <f t="shared" si="76"/>
        <v>0</v>
      </c>
      <c r="AW98" s="9" t="str">
        <f t="shared" si="77"/>
        <v/>
      </c>
      <c r="AX98" s="5">
        <f t="shared" si="78"/>
        <v>3218</v>
      </c>
      <c r="AY98" s="5">
        <v>0</v>
      </c>
      <c r="AZ98" s="5">
        <f t="shared" si="79"/>
        <v>3218</v>
      </c>
      <c r="BA98" s="9" t="str">
        <f t="shared" si="80"/>
        <v/>
      </c>
    </row>
    <row r="99" spans="1:53" x14ac:dyDescent="0.25">
      <c r="A99" s="3" t="s">
        <v>166</v>
      </c>
      <c r="B99" s="5">
        <f>4583.34</f>
        <v>4583.34</v>
      </c>
      <c r="C99" s="5">
        <f>0</f>
        <v>0</v>
      </c>
      <c r="D99" s="5">
        <f t="shared" si="54"/>
        <v>4583.34</v>
      </c>
      <c r="E99" s="9" t="str">
        <f t="shared" si="55"/>
        <v/>
      </c>
      <c r="F99" s="5">
        <f>3333.34</f>
        <v>3333.34</v>
      </c>
      <c r="G99" s="5">
        <f>0</f>
        <v>0</v>
      </c>
      <c r="H99" s="5">
        <f t="shared" si="56"/>
        <v>3333.34</v>
      </c>
      <c r="I99" s="9" t="str">
        <f t="shared" si="57"/>
        <v/>
      </c>
      <c r="J99" s="5">
        <f>3333.34</f>
        <v>3333.34</v>
      </c>
      <c r="K99" s="5">
        <f>0</f>
        <v>0</v>
      </c>
      <c r="L99" s="5">
        <f t="shared" si="58"/>
        <v>3333.34</v>
      </c>
      <c r="M99" s="9" t="str">
        <f t="shared" si="59"/>
        <v/>
      </c>
      <c r="N99" s="5">
        <f>3333.34</f>
        <v>3333.34</v>
      </c>
      <c r="O99" s="5">
        <f>0</f>
        <v>0</v>
      </c>
      <c r="P99" s="5">
        <f t="shared" si="60"/>
        <v>3333.34</v>
      </c>
      <c r="Q99" s="9" t="str">
        <f t="shared" si="61"/>
        <v/>
      </c>
      <c r="R99" s="5">
        <f>3333.34</f>
        <v>3333.34</v>
      </c>
      <c r="S99" s="5">
        <f>0</f>
        <v>0</v>
      </c>
      <c r="T99" s="5">
        <f t="shared" si="62"/>
        <v>3333.34</v>
      </c>
      <c r="U99" s="9" t="str">
        <f t="shared" si="63"/>
        <v/>
      </c>
      <c r="V99" s="5">
        <f>3333.34</f>
        <v>3333.34</v>
      </c>
      <c r="W99" s="5">
        <f>0</f>
        <v>0</v>
      </c>
      <c r="X99" s="5">
        <f t="shared" si="64"/>
        <v>3333.34</v>
      </c>
      <c r="Y99" s="9" t="str">
        <f t="shared" si="65"/>
        <v/>
      </c>
      <c r="Z99" s="5">
        <f>3924.75</f>
        <v>3924.75</v>
      </c>
      <c r="AA99" s="5">
        <f>0</f>
        <v>0</v>
      </c>
      <c r="AB99" s="5">
        <f t="shared" si="66"/>
        <v>3924.75</v>
      </c>
      <c r="AC99" s="9" t="str">
        <f t="shared" si="67"/>
        <v/>
      </c>
      <c r="AD99" s="5">
        <f>3433.34</f>
        <v>3433.34</v>
      </c>
      <c r="AE99" s="5">
        <f>4559</f>
        <v>4559</v>
      </c>
      <c r="AF99" s="5">
        <f t="shared" si="68"/>
        <v>-1125.6599999999999</v>
      </c>
      <c r="AG99" s="9">
        <f t="shared" si="69"/>
        <v>0.75309059004167589</v>
      </c>
      <c r="AH99" s="5">
        <f>4516.18</f>
        <v>4516.18</v>
      </c>
      <c r="AI99" s="5">
        <f>4559</f>
        <v>4559</v>
      </c>
      <c r="AJ99" s="5">
        <f t="shared" si="70"/>
        <v>-42.819999999999709</v>
      </c>
      <c r="AK99" s="9">
        <f t="shared" si="71"/>
        <v>0.9906075893836368</v>
      </c>
      <c r="AL99" s="108">
        <f>3433.34</f>
        <v>3433.34</v>
      </c>
      <c r="AM99" s="108">
        <f>4559</f>
        <v>4559</v>
      </c>
      <c r="AN99" s="108">
        <f t="shared" si="72"/>
        <v>-1125.6599999999999</v>
      </c>
      <c r="AO99" s="109">
        <f t="shared" si="73"/>
        <v>0.75309059004167589</v>
      </c>
      <c r="AP99" s="4"/>
      <c r="AQ99" s="5">
        <f>4559</f>
        <v>4559</v>
      </c>
      <c r="AR99" s="5">
        <f t="shared" si="74"/>
        <v>-4559</v>
      </c>
      <c r="AS99" s="9">
        <f t="shared" si="75"/>
        <v>0</v>
      </c>
      <c r="AT99" s="4"/>
      <c r="AU99" s="5">
        <f>4559</f>
        <v>4559</v>
      </c>
      <c r="AV99" s="5">
        <f t="shared" si="76"/>
        <v>-4559</v>
      </c>
      <c r="AW99" s="9">
        <f t="shared" si="77"/>
        <v>0</v>
      </c>
      <c r="AX99" s="5">
        <f t="shared" si="78"/>
        <v>36557.649999999994</v>
      </c>
      <c r="AY99" s="5">
        <v>22795</v>
      </c>
      <c r="AZ99" s="5">
        <f t="shared" si="79"/>
        <v>13762.649999999994</v>
      </c>
      <c r="BA99" s="9">
        <f t="shared" si="80"/>
        <v>1.6037574029392407</v>
      </c>
    </row>
    <row r="100" spans="1:53" x14ac:dyDescent="0.25">
      <c r="A100" s="3" t="s">
        <v>165</v>
      </c>
      <c r="B100" s="5">
        <f>771.26</f>
        <v>771.26</v>
      </c>
      <c r="C100" s="4"/>
      <c r="D100" s="5">
        <f t="shared" ref="D100:D131" si="81">(B100)-(C100)</f>
        <v>771.26</v>
      </c>
      <c r="E100" s="9" t="str">
        <f t="shared" ref="E100:E131" si="82">IF(C100=0,"",(B100)/(C100))</f>
        <v/>
      </c>
      <c r="F100" s="5">
        <f>504.79</f>
        <v>504.79</v>
      </c>
      <c r="G100" s="4"/>
      <c r="H100" s="5">
        <f t="shared" ref="H100:H131" si="83">(F100)-(G100)</f>
        <v>504.79</v>
      </c>
      <c r="I100" s="9" t="str">
        <f t="shared" ref="I100:I131" si="84">IF(G100=0,"",(F100)/(G100))</f>
        <v/>
      </c>
      <c r="J100" s="5">
        <f>613.01</f>
        <v>613.01</v>
      </c>
      <c r="K100" s="4"/>
      <c r="L100" s="5">
        <f t="shared" ref="L100:L131" si="85">(J100)-(K100)</f>
        <v>613.01</v>
      </c>
      <c r="M100" s="9" t="str">
        <f t="shared" ref="M100:M131" si="86">IF(K100=0,"",(J100)/(K100))</f>
        <v/>
      </c>
      <c r="N100" s="5">
        <f>613.01</f>
        <v>613.01</v>
      </c>
      <c r="O100" s="4"/>
      <c r="P100" s="5">
        <f t="shared" ref="P100:P131" si="87">(N100)-(O100)</f>
        <v>613.01</v>
      </c>
      <c r="Q100" s="9" t="str">
        <f t="shared" ref="Q100:Q131" si="88">IF(O100=0,"",(N100)/(O100))</f>
        <v/>
      </c>
      <c r="R100" s="4"/>
      <c r="S100" s="4"/>
      <c r="T100" s="5">
        <f t="shared" ref="T100:T131" si="89">(R100)-(S100)</f>
        <v>0</v>
      </c>
      <c r="U100" s="9" t="str">
        <f t="shared" ref="U100:U131" si="90">IF(S100=0,"",(R100)/(S100))</f>
        <v/>
      </c>
      <c r="V100" s="5">
        <f>602.97</f>
        <v>602.97</v>
      </c>
      <c r="W100" s="4"/>
      <c r="X100" s="5">
        <f t="shared" ref="X100:X131" si="91">(V100)-(W100)</f>
        <v>602.97</v>
      </c>
      <c r="Y100" s="9" t="str">
        <f t="shared" ref="Y100:Y131" si="92">IF(W100=0,"",(V100)/(W100))</f>
        <v/>
      </c>
      <c r="Z100" s="5">
        <f>602.97</f>
        <v>602.97</v>
      </c>
      <c r="AA100" s="4"/>
      <c r="AB100" s="5">
        <f t="shared" ref="AB100:AB131" si="93">(Z100)-(AA100)</f>
        <v>602.97</v>
      </c>
      <c r="AC100" s="9" t="str">
        <f t="shared" ref="AC100:AC131" si="94">IF(AA100=0,"",(Z100)/(AA100))</f>
        <v/>
      </c>
      <c r="AD100" s="4"/>
      <c r="AE100" s="4"/>
      <c r="AF100" s="5">
        <f t="shared" ref="AF100:AF131" si="95">(AD100)-(AE100)</f>
        <v>0</v>
      </c>
      <c r="AG100" s="9" t="str">
        <f t="shared" ref="AG100:AG131" si="96">IF(AE100=0,"",(AD100)/(AE100))</f>
        <v/>
      </c>
      <c r="AH100" s="4"/>
      <c r="AI100" s="4"/>
      <c r="AJ100" s="5">
        <f t="shared" ref="AJ100:AJ131" si="97">(AH100)-(AI100)</f>
        <v>0</v>
      </c>
      <c r="AK100" s="9" t="str">
        <f t="shared" ref="AK100:AK131" si="98">IF(AI100=0,"",(AH100)/(AI100))</f>
        <v/>
      </c>
      <c r="AL100" s="108">
        <f>1606.74</f>
        <v>1606.74</v>
      </c>
      <c r="AM100" s="107"/>
      <c r="AN100" s="108">
        <f t="shared" ref="AN100:AN131" si="99">(AL100)-(AM100)</f>
        <v>1606.74</v>
      </c>
      <c r="AO100" s="109" t="str">
        <f t="shared" ref="AO100:AO131" si="100">IF(AM100=0,"",(AL100)/(AM100))</f>
        <v/>
      </c>
      <c r="AP100" s="5">
        <f>6074.71</f>
        <v>6074.71</v>
      </c>
      <c r="AQ100" s="4"/>
      <c r="AR100" s="5">
        <f t="shared" ref="AR100:AR131" si="101">(AP100)-(AQ100)</f>
        <v>6074.71</v>
      </c>
      <c r="AS100" s="9" t="str">
        <f t="shared" ref="AS100:AS131" si="102">IF(AQ100=0,"",(AP100)/(AQ100))</f>
        <v/>
      </c>
      <c r="AT100" s="4"/>
      <c r="AU100" s="4"/>
      <c r="AV100" s="5">
        <f t="shared" ref="AV100:AV131" si="103">(AT100)-(AU100)</f>
        <v>0</v>
      </c>
      <c r="AW100" s="9" t="str">
        <f t="shared" ref="AW100:AW131" si="104">IF(AU100=0,"",(AT100)/(AU100))</f>
        <v/>
      </c>
      <c r="AX100" s="5">
        <f t="shared" ref="AX100:AX131" si="105">(((((((((((B100)+(F100))+(J100))+(N100))+(R100))+(V100))+(Z100))+(AD100))+(AH100))+(AL100))+(AP100))+(AT100)</f>
        <v>11389.46</v>
      </c>
      <c r="AY100" s="5">
        <v>0</v>
      </c>
      <c r="AZ100" s="5">
        <f t="shared" ref="AZ100:AZ131" si="106">(AX100)-(AY100)</f>
        <v>11389.46</v>
      </c>
      <c r="BA100" s="9" t="str">
        <f t="shared" ref="BA100:BA131" si="107">IF(AY100=0,"",(AX100)/(AY100))</f>
        <v/>
      </c>
    </row>
    <row r="101" spans="1:53" x14ac:dyDescent="0.25">
      <c r="A101" s="3" t="s">
        <v>164</v>
      </c>
      <c r="B101" s="4"/>
      <c r="C101" s="4"/>
      <c r="D101" s="5">
        <f t="shared" si="81"/>
        <v>0</v>
      </c>
      <c r="E101" s="9" t="str">
        <f t="shared" si="82"/>
        <v/>
      </c>
      <c r="F101" s="4"/>
      <c r="G101" s="4"/>
      <c r="H101" s="5">
        <f t="shared" si="83"/>
        <v>0</v>
      </c>
      <c r="I101" s="9" t="str">
        <f t="shared" si="84"/>
        <v/>
      </c>
      <c r="J101" s="4"/>
      <c r="K101" s="4"/>
      <c r="L101" s="5">
        <f t="shared" si="85"/>
        <v>0</v>
      </c>
      <c r="M101" s="9" t="str">
        <f t="shared" si="86"/>
        <v/>
      </c>
      <c r="N101" s="4"/>
      <c r="O101" s="4"/>
      <c r="P101" s="5">
        <f t="shared" si="87"/>
        <v>0</v>
      </c>
      <c r="Q101" s="9" t="str">
        <f t="shared" si="88"/>
        <v/>
      </c>
      <c r="R101" s="4"/>
      <c r="S101" s="4"/>
      <c r="T101" s="5">
        <f t="shared" si="89"/>
        <v>0</v>
      </c>
      <c r="U101" s="9" t="str">
        <f t="shared" si="90"/>
        <v/>
      </c>
      <c r="V101" s="4"/>
      <c r="W101" s="4"/>
      <c r="X101" s="5">
        <f t="shared" si="91"/>
        <v>0</v>
      </c>
      <c r="Y101" s="9" t="str">
        <f t="shared" si="92"/>
        <v/>
      </c>
      <c r="Z101" s="4"/>
      <c r="AA101" s="4"/>
      <c r="AB101" s="5">
        <f t="shared" si="93"/>
        <v>0</v>
      </c>
      <c r="AC101" s="9" t="str">
        <f t="shared" si="94"/>
        <v/>
      </c>
      <c r="AD101" s="4"/>
      <c r="AE101" s="4"/>
      <c r="AF101" s="5">
        <f t="shared" si="95"/>
        <v>0</v>
      </c>
      <c r="AG101" s="9" t="str">
        <f t="shared" si="96"/>
        <v/>
      </c>
      <c r="AH101" s="5">
        <f>3059.29</f>
        <v>3059.29</v>
      </c>
      <c r="AI101" s="4"/>
      <c r="AJ101" s="5">
        <f t="shared" si="97"/>
        <v>3059.29</v>
      </c>
      <c r="AK101" s="9" t="str">
        <f t="shared" si="98"/>
        <v/>
      </c>
      <c r="AL101" s="108">
        <f>-1893.3</f>
        <v>-1893.3</v>
      </c>
      <c r="AM101" s="107"/>
      <c r="AN101" s="108">
        <f t="shared" si="99"/>
        <v>-1893.3</v>
      </c>
      <c r="AO101" s="109" t="str">
        <f t="shared" si="100"/>
        <v/>
      </c>
      <c r="AP101" s="4"/>
      <c r="AQ101" s="4"/>
      <c r="AR101" s="5">
        <f t="shared" si="101"/>
        <v>0</v>
      </c>
      <c r="AS101" s="9" t="str">
        <f t="shared" si="102"/>
        <v/>
      </c>
      <c r="AT101" s="4"/>
      <c r="AU101" s="4"/>
      <c r="AV101" s="5">
        <f t="shared" si="103"/>
        <v>0</v>
      </c>
      <c r="AW101" s="9" t="str">
        <f t="shared" si="104"/>
        <v/>
      </c>
      <c r="AX101" s="5">
        <f t="shared" si="105"/>
        <v>1165.99</v>
      </c>
      <c r="AY101" s="5">
        <v>0</v>
      </c>
      <c r="AZ101" s="5">
        <f t="shared" si="106"/>
        <v>1165.99</v>
      </c>
      <c r="BA101" s="9" t="str">
        <f t="shared" si="107"/>
        <v/>
      </c>
    </row>
    <row r="102" spans="1:53" x14ac:dyDescent="0.25">
      <c r="A102" s="3" t="s">
        <v>163</v>
      </c>
      <c r="B102" s="5">
        <f>4200</f>
        <v>4200</v>
      </c>
      <c r="C102" s="5">
        <f>5337.33</f>
        <v>5337.33</v>
      </c>
      <c r="D102" s="5">
        <f t="shared" si="81"/>
        <v>-1137.33</v>
      </c>
      <c r="E102" s="9">
        <f t="shared" si="82"/>
        <v>0.78691030908712789</v>
      </c>
      <c r="F102" s="5">
        <f>10025</f>
        <v>10025</v>
      </c>
      <c r="G102" s="5">
        <f>5337.33</f>
        <v>5337.33</v>
      </c>
      <c r="H102" s="5">
        <f t="shared" si="83"/>
        <v>4687.67</v>
      </c>
      <c r="I102" s="9">
        <f t="shared" si="84"/>
        <v>1.8782799639520136</v>
      </c>
      <c r="J102" s="5">
        <f>2307.5</f>
        <v>2307.5</v>
      </c>
      <c r="K102" s="5">
        <f>5337.33</f>
        <v>5337.33</v>
      </c>
      <c r="L102" s="5">
        <f t="shared" si="85"/>
        <v>-3029.83</v>
      </c>
      <c r="M102" s="9">
        <f t="shared" si="86"/>
        <v>0.43233227100441607</v>
      </c>
      <c r="N102" s="5">
        <f>1015</f>
        <v>1015</v>
      </c>
      <c r="O102" s="5">
        <f>5337.33</f>
        <v>5337.33</v>
      </c>
      <c r="P102" s="5">
        <f t="shared" si="87"/>
        <v>-4322.33</v>
      </c>
      <c r="Q102" s="9">
        <f t="shared" si="88"/>
        <v>0.19016999136272256</v>
      </c>
      <c r="R102" s="4"/>
      <c r="S102" s="5">
        <f>5337.33</f>
        <v>5337.33</v>
      </c>
      <c r="T102" s="5">
        <f t="shared" si="89"/>
        <v>-5337.33</v>
      </c>
      <c r="U102" s="9">
        <f t="shared" si="90"/>
        <v>0</v>
      </c>
      <c r="V102" s="5">
        <f>9150</f>
        <v>9150</v>
      </c>
      <c r="W102" s="5">
        <f>5337.33</f>
        <v>5337.33</v>
      </c>
      <c r="X102" s="5">
        <f t="shared" si="91"/>
        <v>3812.67</v>
      </c>
      <c r="Y102" s="9">
        <f t="shared" si="92"/>
        <v>1.7143403162255286</v>
      </c>
      <c r="Z102" s="4"/>
      <c r="AA102" s="5">
        <f>5337.33</f>
        <v>5337.33</v>
      </c>
      <c r="AB102" s="5">
        <f t="shared" si="93"/>
        <v>-5337.33</v>
      </c>
      <c r="AC102" s="9">
        <f t="shared" si="94"/>
        <v>0</v>
      </c>
      <c r="AD102" s="4"/>
      <c r="AE102" s="5">
        <f>5337.33</f>
        <v>5337.33</v>
      </c>
      <c r="AF102" s="5">
        <f t="shared" si="95"/>
        <v>-5337.33</v>
      </c>
      <c r="AG102" s="9">
        <f t="shared" si="96"/>
        <v>0</v>
      </c>
      <c r="AH102" s="5">
        <f>439.66</f>
        <v>439.66</v>
      </c>
      <c r="AI102" s="5">
        <f>5337.33</f>
        <v>5337.33</v>
      </c>
      <c r="AJ102" s="5">
        <f t="shared" si="97"/>
        <v>-4897.67</v>
      </c>
      <c r="AK102" s="9">
        <f t="shared" si="98"/>
        <v>8.2374520593630152E-2</v>
      </c>
      <c r="AL102" s="107"/>
      <c r="AM102" s="108">
        <f>5337.33</f>
        <v>5337.33</v>
      </c>
      <c r="AN102" s="108">
        <f t="shared" si="99"/>
        <v>-5337.33</v>
      </c>
      <c r="AO102" s="109">
        <f t="shared" si="100"/>
        <v>0</v>
      </c>
      <c r="AP102" s="5">
        <f>16350</f>
        <v>16350</v>
      </c>
      <c r="AQ102" s="5">
        <f>5337.33</f>
        <v>5337.33</v>
      </c>
      <c r="AR102" s="5">
        <f t="shared" si="101"/>
        <v>11012.67</v>
      </c>
      <c r="AS102" s="9">
        <f t="shared" si="102"/>
        <v>3.0633294175177479</v>
      </c>
      <c r="AT102" s="4"/>
      <c r="AU102" s="5">
        <f>5337.37</f>
        <v>5337.37</v>
      </c>
      <c r="AV102" s="5">
        <f t="shared" si="103"/>
        <v>-5337.37</v>
      </c>
      <c r="AW102" s="9">
        <f t="shared" si="104"/>
        <v>0</v>
      </c>
      <c r="AX102" s="5">
        <f t="shared" si="105"/>
        <v>43487.16</v>
      </c>
      <c r="AY102" s="5">
        <v>64048.000000000015</v>
      </c>
      <c r="AZ102" s="5">
        <f t="shared" si="106"/>
        <v>-20560.840000000011</v>
      </c>
      <c r="BA102" s="9">
        <f t="shared" si="107"/>
        <v>0.67897764176867337</v>
      </c>
    </row>
    <row r="103" spans="1:53" x14ac:dyDescent="0.25">
      <c r="A103" s="3" t="s">
        <v>162</v>
      </c>
      <c r="B103" s="4"/>
      <c r="C103" s="4"/>
      <c r="D103" s="5">
        <f t="shared" si="81"/>
        <v>0</v>
      </c>
      <c r="E103" s="9" t="str">
        <f t="shared" si="82"/>
        <v/>
      </c>
      <c r="F103" s="4"/>
      <c r="G103" s="4"/>
      <c r="H103" s="5">
        <f t="shared" si="83"/>
        <v>0</v>
      </c>
      <c r="I103" s="9" t="str">
        <f t="shared" si="84"/>
        <v/>
      </c>
      <c r="J103" s="4"/>
      <c r="K103" s="4"/>
      <c r="L103" s="5">
        <f t="shared" si="85"/>
        <v>0</v>
      </c>
      <c r="M103" s="9" t="str">
        <f t="shared" si="86"/>
        <v/>
      </c>
      <c r="N103" s="4"/>
      <c r="O103" s="4"/>
      <c r="P103" s="5">
        <f t="shared" si="87"/>
        <v>0</v>
      </c>
      <c r="Q103" s="9" t="str">
        <f t="shared" si="88"/>
        <v/>
      </c>
      <c r="R103" s="4"/>
      <c r="S103" s="4"/>
      <c r="T103" s="5">
        <f t="shared" si="89"/>
        <v>0</v>
      </c>
      <c r="U103" s="9" t="str">
        <f t="shared" si="90"/>
        <v/>
      </c>
      <c r="V103" s="4"/>
      <c r="W103" s="4"/>
      <c r="X103" s="5">
        <f t="shared" si="91"/>
        <v>0</v>
      </c>
      <c r="Y103" s="9" t="str">
        <f t="shared" si="92"/>
        <v/>
      </c>
      <c r="Z103" s="4"/>
      <c r="AA103" s="4"/>
      <c r="AB103" s="5">
        <f t="shared" si="93"/>
        <v>0</v>
      </c>
      <c r="AC103" s="9" t="str">
        <f t="shared" si="94"/>
        <v/>
      </c>
      <c r="AD103" s="4"/>
      <c r="AE103" s="4"/>
      <c r="AF103" s="5">
        <f t="shared" si="95"/>
        <v>0</v>
      </c>
      <c r="AG103" s="9" t="str">
        <f t="shared" si="96"/>
        <v/>
      </c>
      <c r="AH103" s="5">
        <f>28295.45</f>
        <v>28295.45</v>
      </c>
      <c r="AI103" s="4"/>
      <c r="AJ103" s="5">
        <f t="shared" si="97"/>
        <v>28295.45</v>
      </c>
      <c r="AK103" s="9" t="str">
        <f t="shared" si="98"/>
        <v/>
      </c>
      <c r="AL103" s="107"/>
      <c r="AM103" s="107"/>
      <c r="AN103" s="108">
        <f t="shared" si="99"/>
        <v>0</v>
      </c>
      <c r="AO103" s="109" t="str">
        <f t="shared" si="100"/>
        <v/>
      </c>
      <c r="AP103" s="4"/>
      <c r="AQ103" s="4"/>
      <c r="AR103" s="5">
        <f t="shared" si="101"/>
        <v>0</v>
      </c>
      <c r="AS103" s="9" t="str">
        <f t="shared" si="102"/>
        <v/>
      </c>
      <c r="AT103" s="4"/>
      <c r="AU103" s="4"/>
      <c r="AV103" s="5">
        <f t="shared" si="103"/>
        <v>0</v>
      </c>
      <c r="AW103" s="9" t="str">
        <f t="shared" si="104"/>
        <v/>
      </c>
      <c r="AX103" s="5">
        <f t="shared" si="105"/>
        <v>28295.45</v>
      </c>
      <c r="AY103" s="5">
        <v>0</v>
      </c>
      <c r="AZ103" s="5">
        <f t="shared" si="106"/>
        <v>28295.45</v>
      </c>
      <c r="BA103" s="9" t="str">
        <f t="shared" si="107"/>
        <v/>
      </c>
    </row>
    <row r="104" spans="1:53" x14ac:dyDescent="0.25">
      <c r="A104" s="3" t="s">
        <v>161</v>
      </c>
      <c r="B104" s="5">
        <f>18750</f>
        <v>18750</v>
      </c>
      <c r="C104" s="4"/>
      <c r="D104" s="5">
        <f t="shared" si="81"/>
        <v>18750</v>
      </c>
      <c r="E104" s="9" t="str">
        <f t="shared" si="82"/>
        <v/>
      </c>
      <c r="F104" s="4"/>
      <c r="G104" s="4"/>
      <c r="H104" s="5">
        <f t="shared" si="83"/>
        <v>0</v>
      </c>
      <c r="I104" s="9" t="str">
        <f t="shared" si="84"/>
        <v/>
      </c>
      <c r="J104" s="4"/>
      <c r="K104" s="4"/>
      <c r="L104" s="5">
        <f t="shared" si="85"/>
        <v>0</v>
      </c>
      <c r="M104" s="9" t="str">
        <f t="shared" si="86"/>
        <v/>
      </c>
      <c r="N104" s="4"/>
      <c r="O104" s="4"/>
      <c r="P104" s="5">
        <f t="shared" si="87"/>
        <v>0</v>
      </c>
      <c r="Q104" s="9" t="str">
        <f t="shared" si="88"/>
        <v/>
      </c>
      <c r="R104" s="4"/>
      <c r="S104" s="4"/>
      <c r="T104" s="5">
        <f t="shared" si="89"/>
        <v>0</v>
      </c>
      <c r="U104" s="9" t="str">
        <f t="shared" si="90"/>
        <v/>
      </c>
      <c r="V104" s="4"/>
      <c r="W104" s="4"/>
      <c r="X104" s="5">
        <f t="shared" si="91"/>
        <v>0</v>
      </c>
      <c r="Y104" s="9" t="str">
        <f t="shared" si="92"/>
        <v/>
      </c>
      <c r="Z104" s="4"/>
      <c r="AA104" s="4"/>
      <c r="AB104" s="5">
        <f t="shared" si="93"/>
        <v>0</v>
      </c>
      <c r="AC104" s="9" t="str">
        <f t="shared" si="94"/>
        <v/>
      </c>
      <c r="AD104" s="4"/>
      <c r="AE104" s="4"/>
      <c r="AF104" s="5">
        <f t="shared" si="95"/>
        <v>0</v>
      </c>
      <c r="AG104" s="9" t="str">
        <f t="shared" si="96"/>
        <v/>
      </c>
      <c r="AH104" s="4"/>
      <c r="AI104" s="4"/>
      <c r="AJ104" s="5">
        <f t="shared" si="97"/>
        <v>0</v>
      </c>
      <c r="AK104" s="9" t="str">
        <f t="shared" si="98"/>
        <v/>
      </c>
      <c r="AL104" s="107"/>
      <c r="AM104" s="107"/>
      <c r="AN104" s="108">
        <f t="shared" si="99"/>
        <v>0</v>
      </c>
      <c r="AO104" s="109" t="str">
        <f t="shared" si="100"/>
        <v/>
      </c>
      <c r="AP104" s="4"/>
      <c r="AQ104" s="4"/>
      <c r="AR104" s="5">
        <f t="shared" si="101"/>
        <v>0</v>
      </c>
      <c r="AS104" s="9" t="str">
        <f t="shared" si="102"/>
        <v/>
      </c>
      <c r="AT104" s="4"/>
      <c r="AU104" s="4"/>
      <c r="AV104" s="5">
        <f t="shared" si="103"/>
        <v>0</v>
      </c>
      <c r="AW104" s="9" t="str">
        <f t="shared" si="104"/>
        <v/>
      </c>
      <c r="AX104" s="5">
        <f t="shared" si="105"/>
        <v>18750</v>
      </c>
      <c r="AY104" s="5">
        <v>0</v>
      </c>
      <c r="AZ104" s="5">
        <f t="shared" si="106"/>
        <v>18750</v>
      </c>
      <c r="BA104" s="9" t="str">
        <f t="shared" si="107"/>
        <v/>
      </c>
    </row>
    <row r="105" spans="1:53" x14ac:dyDescent="0.25">
      <c r="A105" s="3" t="s">
        <v>160</v>
      </c>
      <c r="B105" s="5">
        <f>502.5</f>
        <v>502.5</v>
      </c>
      <c r="C105" s="5">
        <f>2466.83</f>
        <v>2466.83</v>
      </c>
      <c r="D105" s="5">
        <f t="shared" si="81"/>
        <v>-1964.33</v>
      </c>
      <c r="E105" s="9">
        <f t="shared" si="82"/>
        <v>0.20370272779234888</v>
      </c>
      <c r="F105" s="5">
        <f>206</f>
        <v>206</v>
      </c>
      <c r="G105" s="5">
        <f>2466.83</f>
        <v>2466.83</v>
      </c>
      <c r="H105" s="5">
        <f t="shared" si="83"/>
        <v>-2260.83</v>
      </c>
      <c r="I105" s="9">
        <f t="shared" si="84"/>
        <v>8.3507983930793769E-2</v>
      </c>
      <c r="J105" s="5">
        <f>830</f>
        <v>830</v>
      </c>
      <c r="K105" s="5">
        <f>2466.83</f>
        <v>2466.83</v>
      </c>
      <c r="L105" s="5">
        <f t="shared" si="85"/>
        <v>-1636.83</v>
      </c>
      <c r="M105" s="9">
        <f t="shared" si="86"/>
        <v>0.33646420709980018</v>
      </c>
      <c r="N105" s="5">
        <f>103</f>
        <v>103</v>
      </c>
      <c r="O105" s="5">
        <f>2466.83</f>
        <v>2466.83</v>
      </c>
      <c r="P105" s="5">
        <f t="shared" si="87"/>
        <v>-2363.83</v>
      </c>
      <c r="Q105" s="9">
        <f t="shared" si="88"/>
        <v>4.1753991965396885E-2</v>
      </c>
      <c r="R105" s="5">
        <f>103</f>
        <v>103</v>
      </c>
      <c r="S105" s="5">
        <f>2466.83</f>
        <v>2466.83</v>
      </c>
      <c r="T105" s="5">
        <f t="shared" si="89"/>
        <v>-2363.83</v>
      </c>
      <c r="U105" s="9">
        <f t="shared" si="90"/>
        <v>4.1753991965396885E-2</v>
      </c>
      <c r="V105" s="4"/>
      <c r="W105" s="5">
        <f>2466.83</f>
        <v>2466.83</v>
      </c>
      <c r="X105" s="5">
        <f t="shared" si="91"/>
        <v>-2466.83</v>
      </c>
      <c r="Y105" s="9">
        <f t="shared" si="92"/>
        <v>0</v>
      </c>
      <c r="Z105" s="5">
        <f>642.23</f>
        <v>642.23</v>
      </c>
      <c r="AA105" s="5">
        <f>2466.83</f>
        <v>2466.83</v>
      </c>
      <c r="AB105" s="5">
        <f t="shared" si="93"/>
        <v>-1824.6</v>
      </c>
      <c r="AC105" s="9">
        <f t="shared" si="94"/>
        <v>0.26034627436831886</v>
      </c>
      <c r="AD105" s="5">
        <f>51.5</f>
        <v>51.5</v>
      </c>
      <c r="AE105" s="5">
        <f>2466.83</f>
        <v>2466.83</v>
      </c>
      <c r="AF105" s="5">
        <f t="shared" si="95"/>
        <v>-2415.33</v>
      </c>
      <c r="AG105" s="9">
        <f t="shared" si="96"/>
        <v>2.0876995982698442E-2</v>
      </c>
      <c r="AH105" s="4"/>
      <c r="AI105" s="5">
        <f>2466.83</f>
        <v>2466.83</v>
      </c>
      <c r="AJ105" s="5">
        <f t="shared" si="97"/>
        <v>-2466.83</v>
      </c>
      <c r="AK105" s="9">
        <f t="shared" si="98"/>
        <v>0</v>
      </c>
      <c r="AL105" s="108">
        <f>103</f>
        <v>103</v>
      </c>
      <c r="AM105" s="108">
        <f>2466.83</f>
        <v>2466.83</v>
      </c>
      <c r="AN105" s="108">
        <f t="shared" si="99"/>
        <v>-2363.83</v>
      </c>
      <c r="AO105" s="109">
        <f t="shared" si="100"/>
        <v>4.1753991965396885E-2</v>
      </c>
      <c r="AP105" s="5">
        <f>51.5</f>
        <v>51.5</v>
      </c>
      <c r="AQ105" s="5">
        <f>2466.83</f>
        <v>2466.83</v>
      </c>
      <c r="AR105" s="5">
        <f t="shared" si="101"/>
        <v>-2415.33</v>
      </c>
      <c r="AS105" s="9">
        <f t="shared" si="102"/>
        <v>2.0876995982698442E-2</v>
      </c>
      <c r="AT105" s="5">
        <f>275</f>
        <v>275</v>
      </c>
      <c r="AU105" s="5">
        <f>2466.87</f>
        <v>2466.87</v>
      </c>
      <c r="AV105" s="5">
        <f t="shared" si="103"/>
        <v>-2191.87</v>
      </c>
      <c r="AW105" s="9">
        <f t="shared" si="104"/>
        <v>0.11147729714172211</v>
      </c>
      <c r="AX105" s="5">
        <f t="shared" si="105"/>
        <v>2867.73</v>
      </c>
      <c r="AY105" s="5">
        <v>29602.000000000004</v>
      </c>
      <c r="AZ105" s="5">
        <f t="shared" si="106"/>
        <v>-26734.270000000004</v>
      </c>
      <c r="BA105" s="9">
        <f t="shared" si="107"/>
        <v>9.68762245794203E-2</v>
      </c>
    </row>
    <row r="106" spans="1:53" x14ac:dyDescent="0.25">
      <c r="A106" s="3" t="s">
        <v>159</v>
      </c>
      <c r="B106" s="7">
        <f>(((B102)+(B103))+(B104))+(B105)</f>
        <v>23452.5</v>
      </c>
      <c r="C106" s="7">
        <f>(((C102)+(C103))+(C104))+(C105)</f>
        <v>7804.16</v>
      </c>
      <c r="D106" s="7">
        <f t="shared" si="81"/>
        <v>15648.34</v>
      </c>
      <c r="E106" s="8">
        <f t="shared" si="82"/>
        <v>3.0051280342791538</v>
      </c>
      <c r="F106" s="7">
        <f>(((F102)+(F103))+(F104))+(F105)</f>
        <v>10231</v>
      </c>
      <c r="G106" s="7">
        <f>(((G102)+(G103))+(G104))+(G105)</f>
        <v>7804.16</v>
      </c>
      <c r="H106" s="7">
        <f t="shared" si="83"/>
        <v>2426.84</v>
      </c>
      <c r="I106" s="8">
        <f t="shared" si="84"/>
        <v>1.3109674840085288</v>
      </c>
      <c r="J106" s="7">
        <f>(((J102)+(J103))+(J104))+(J105)</f>
        <v>3137.5</v>
      </c>
      <c r="K106" s="7">
        <f>(((K102)+(K103))+(K104))+(K105)</f>
        <v>7804.16</v>
      </c>
      <c r="L106" s="7">
        <f t="shared" si="85"/>
        <v>-4666.66</v>
      </c>
      <c r="M106" s="8">
        <f t="shared" si="86"/>
        <v>0.40202917418402495</v>
      </c>
      <c r="N106" s="7">
        <f>(((N102)+(N103))+(N104))+(N105)</f>
        <v>1118</v>
      </c>
      <c r="O106" s="7">
        <f>(((O102)+(O103))+(O104))+(O105)</f>
        <v>7804.16</v>
      </c>
      <c r="P106" s="7">
        <f t="shared" si="87"/>
        <v>-6686.16</v>
      </c>
      <c r="Q106" s="8">
        <f t="shared" si="88"/>
        <v>0.14325692963752665</v>
      </c>
      <c r="R106" s="7">
        <f>(((R102)+(R103))+(R104))+(R105)</f>
        <v>103</v>
      </c>
      <c r="S106" s="7">
        <f>(((S102)+(S103))+(S104))+(S105)</f>
        <v>7804.16</v>
      </c>
      <c r="T106" s="7">
        <f t="shared" si="89"/>
        <v>-7701.16</v>
      </c>
      <c r="U106" s="8">
        <f t="shared" si="90"/>
        <v>1.3198089224208627E-2</v>
      </c>
      <c r="V106" s="7">
        <f>(((V102)+(V103))+(V104))+(V105)</f>
        <v>9150</v>
      </c>
      <c r="W106" s="7">
        <f>(((W102)+(W103))+(W104))+(W105)</f>
        <v>7804.16</v>
      </c>
      <c r="X106" s="7">
        <f t="shared" si="91"/>
        <v>1345.8400000000001</v>
      </c>
      <c r="Y106" s="8">
        <f t="shared" si="92"/>
        <v>1.1724516155486304</v>
      </c>
      <c r="Z106" s="7">
        <f>(((Z102)+(Z103))+(Z104))+(Z105)</f>
        <v>642.23</v>
      </c>
      <c r="AA106" s="7">
        <f>(((AA102)+(AA103))+(AA104))+(AA105)</f>
        <v>7804.16</v>
      </c>
      <c r="AB106" s="7">
        <f t="shared" si="93"/>
        <v>-7161.93</v>
      </c>
      <c r="AC106" s="8">
        <f t="shared" si="94"/>
        <v>8.2293289732655414E-2</v>
      </c>
      <c r="AD106" s="7">
        <f>(((AD102)+(AD103))+(AD104))+(AD105)</f>
        <v>51.5</v>
      </c>
      <c r="AE106" s="7">
        <f>(((AE102)+(AE103))+(AE104))+(AE105)</f>
        <v>7804.16</v>
      </c>
      <c r="AF106" s="7">
        <f t="shared" si="95"/>
        <v>-7752.66</v>
      </c>
      <c r="AG106" s="8">
        <f t="shared" si="96"/>
        <v>6.5990446121043135E-3</v>
      </c>
      <c r="AH106" s="7">
        <f>(((AH102)+(AH103))+(AH104))+(AH105)</f>
        <v>28735.11</v>
      </c>
      <c r="AI106" s="7">
        <f>(((AI102)+(AI103))+(AI104))+(AI105)</f>
        <v>7804.16</v>
      </c>
      <c r="AJ106" s="7">
        <f t="shared" si="97"/>
        <v>20930.95</v>
      </c>
      <c r="AK106" s="8">
        <f t="shared" si="98"/>
        <v>3.6820247150237821</v>
      </c>
      <c r="AL106" s="110">
        <f>(((AL102)+(AL103))+(AL104))+(AL105)</f>
        <v>103</v>
      </c>
      <c r="AM106" s="110">
        <f>(((AM102)+(AM103))+(AM104))+(AM105)</f>
        <v>7804.16</v>
      </c>
      <c r="AN106" s="110">
        <f t="shared" si="99"/>
        <v>-7701.16</v>
      </c>
      <c r="AO106" s="111">
        <f t="shared" si="100"/>
        <v>1.3198089224208627E-2</v>
      </c>
      <c r="AP106" s="7">
        <f>(((AP102)+(AP103))+(AP104))+(AP105)</f>
        <v>16401.5</v>
      </c>
      <c r="AQ106" s="7">
        <f>(((AQ102)+(AQ103))+(AQ104))+(AQ105)</f>
        <v>7804.16</v>
      </c>
      <c r="AR106" s="7">
        <f t="shared" si="101"/>
        <v>8597.34</v>
      </c>
      <c r="AS106" s="8">
        <f t="shared" si="102"/>
        <v>2.1016355379694933</v>
      </c>
      <c r="AT106" s="7">
        <f>(((AT102)+(AT103))+(AT104))+(AT105)</f>
        <v>275</v>
      </c>
      <c r="AU106" s="7">
        <f>(((AU102)+(AU103))+(AU104))+(AU105)</f>
        <v>7804.24</v>
      </c>
      <c r="AV106" s="7">
        <f t="shared" si="103"/>
        <v>-7529.24</v>
      </c>
      <c r="AW106" s="8">
        <f t="shared" si="104"/>
        <v>3.5237255645649029E-2</v>
      </c>
      <c r="AX106" s="7">
        <f t="shared" si="105"/>
        <v>93400.34</v>
      </c>
      <c r="AY106" s="7">
        <v>93650.000000000029</v>
      </c>
      <c r="AZ106" s="7">
        <f t="shared" si="106"/>
        <v>-249.6600000000326</v>
      </c>
      <c r="BA106" s="8">
        <f t="shared" si="107"/>
        <v>0.99733411639081648</v>
      </c>
    </row>
    <row r="107" spans="1:53" x14ac:dyDescent="0.25">
      <c r="A107" s="3" t="s">
        <v>158</v>
      </c>
      <c r="B107" s="5">
        <f>3217.02</f>
        <v>3217.02</v>
      </c>
      <c r="C107" s="4"/>
      <c r="D107" s="5">
        <f t="shared" si="81"/>
        <v>3217.02</v>
      </c>
      <c r="E107" s="9" t="str">
        <f t="shared" si="82"/>
        <v/>
      </c>
      <c r="F107" s="5">
        <f>3282.89</f>
        <v>3282.89</v>
      </c>
      <c r="G107" s="4"/>
      <c r="H107" s="5">
        <f t="shared" si="83"/>
        <v>3282.89</v>
      </c>
      <c r="I107" s="9" t="str">
        <f t="shared" si="84"/>
        <v/>
      </c>
      <c r="J107" s="5">
        <f>3477.08</f>
        <v>3477.08</v>
      </c>
      <c r="K107" s="4"/>
      <c r="L107" s="5">
        <f t="shared" si="85"/>
        <v>3477.08</v>
      </c>
      <c r="M107" s="9" t="str">
        <f t="shared" si="86"/>
        <v/>
      </c>
      <c r="N107" s="5">
        <f>3659.92</f>
        <v>3659.92</v>
      </c>
      <c r="O107" s="4"/>
      <c r="P107" s="5">
        <f t="shared" si="87"/>
        <v>3659.92</v>
      </c>
      <c r="Q107" s="9" t="str">
        <f t="shared" si="88"/>
        <v/>
      </c>
      <c r="R107" s="5">
        <f>3259.87</f>
        <v>3259.87</v>
      </c>
      <c r="S107" s="4"/>
      <c r="T107" s="5">
        <f t="shared" si="89"/>
        <v>3259.87</v>
      </c>
      <c r="U107" s="9" t="str">
        <f t="shared" si="90"/>
        <v/>
      </c>
      <c r="V107" s="5">
        <f>3315.28</f>
        <v>3315.28</v>
      </c>
      <c r="W107" s="4"/>
      <c r="X107" s="5">
        <f t="shared" si="91"/>
        <v>3315.28</v>
      </c>
      <c r="Y107" s="9" t="str">
        <f t="shared" si="92"/>
        <v/>
      </c>
      <c r="Z107" s="5">
        <f>3315.28</f>
        <v>3315.28</v>
      </c>
      <c r="AA107" s="4"/>
      <c r="AB107" s="5">
        <f t="shared" si="93"/>
        <v>3315.28</v>
      </c>
      <c r="AC107" s="9" t="str">
        <f t="shared" si="94"/>
        <v/>
      </c>
      <c r="AD107" s="5">
        <f>3048.25</f>
        <v>3048.25</v>
      </c>
      <c r="AE107" s="4"/>
      <c r="AF107" s="5">
        <f t="shared" si="95"/>
        <v>3048.25</v>
      </c>
      <c r="AG107" s="9" t="str">
        <f t="shared" si="96"/>
        <v/>
      </c>
      <c r="AH107" s="5">
        <f>3190.28</f>
        <v>3190.28</v>
      </c>
      <c r="AI107" s="4"/>
      <c r="AJ107" s="5">
        <f t="shared" si="97"/>
        <v>3190.28</v>
      </c>
      <c r="AK107" s="9" t="str">
        <f t="shared" si="98"/>
        <v/>
      </c>
      <c r="AL107" s="107"/>
      <c r="AM107" s="107"/>
      <c r="AN107" s="108">
        <f t="shared" si="99"/>
        <v>0</v>
      </c>
      <c r="AO107" s="109" t="str">
        <f t="shared" si="100"/>
        <v/>
      </c>
      <c r="AP107" s="4"/>
      <c r="AQ107" s="4"/>
      <c r="AR107" s="5">
        <f t="shared" si="101"/>
        <v>0</v>
      </c>
      <c r="AS107" s="9" t="str">
        <f t="shared" si="102"/>
        <v/>
      </c>
      <c r="AT107" s="4"/>
      <c r="AU107" s="4"/>
      <c r="AV107" s="5">
        <f t="shared" si="103"/>
        <v>0</v>
      </c>
      <c r="AW107" s="9" t="str">
        <f t="shared" si="104"/>
        <v/>
      </c>
      <c r="AX107" s="5">
        <f t="shared" si="105"/>
        <v>29765.869999999995</v>
      </c>
      <c r="AY107" s="5">
        <v>0</v>
      </c>
      <c r="AZ107" s="5">
        <f t="shared" si="106"/>
        <v>29765.869999999995</v>
      </c>
      <c r="BA107" s="9" t="str">
        <f t="shared" si="107"/>
        <v/>
      </c>
    </row>
    <row r="108" spans="1:53" x14ac:dyDescent="0.25">
      <c r="A108" s="3" t="s">
        <v>157</v>
      </c>
      <c r="B108" s="4"/>
      <c r="C108" s="4"/>
      <c r="D108" s="5">
        <f t="shared" si="81"/>
        <v>0</v>
      </c>
      <c r="E108" s="9" t="str">
        <f t="shared" si="82"/>
        <v/>
      </c>
      <c r="F108" s="4"/>
      <c r="G108" s="4"/>
      <c r="H108" s="5">
        <f t="shared" si="83"/>
        <v>0</v>
      </c>
      <c r="I108" s="9" t="str">
        <f t="shared" si="84"/>
        <v/>
      </c>
      <c r="J108" s="4"/>
      <c r="K108" s="4"/>
      <c r="L108" s="5">
        <f t="shared" si="85"/>
        <v>0</v>
      </c>
      <c r="M108" s="9" t="str">
        <f t="shared" si="86"/>
        <v/>
      </c>
      <c r="N108" s="4"/>
      <c r="O108" s="4"/>
      <c r="P108" s="5">
        <f t="shared" si="87"/>
        <v>0</v>
      </c>
      <c r="Q108" s="9" t="str">
        <f t="shared" si="88"/>
        <v/>
      </c>
      <c r="R108" s="4"/>
      <c r="S108" s="4"/>
      <c r="T108" s="5">
        <f t="shared" si="89"/>
        <v>0</v>
      </c>
      <c r="U108" s="9" t="str">
        <f t="shared" si="90"/>
        <v/>
      </c>
      <c r="V108" s="4"/>
      <c r="W108" s="4"/>
      <c r="X108" s="5">
        <f t="shared" si="91"/>
        <v>0</v>
      </c>
      <c r="Y108" s="9" t="str">
        <f t="shared" si="92"/>
        <v/>
      </c>
      <c r="Z108" s="4"/>
      <c r="AA108" s="4"/>
      <c r="AB108" s="5">
        <f t="shared" si="93"/>
        <v>0</v>
      </c>
      <c r="AC108" s="9" t="str">
        <f t="shared" si="94"/>
        <v/>
      </c>
      <c r="AD108" s="4"/>
      <c r="AE108" s="4"/>
      <c r="AF108" s="5">
        <f t="shared" si="95"/>
        <v>0</v>
      </c>
      <c r="AG108" s="9" t="str">
        <f t="shared" si="96"/>
        <v/>
      </c>
      <c r="AH108" s="4"/>
      <c r="AI108" s="4"/>
      <c r="AJ108" s="5">
        <f t="shared" si="97"/>
        <v>0</v>
      </c>
      <c r="AK108" s="9" t="str">
        <f t="shared" si="98"/>
        <v/>
      </c>
      <c r="AL108" s="108">
        <f>1541.2</f>
        <v>1541.2</v>
      </c>
      <c r="AM108" s="107"/>
      <c r="AN108" s="108">
        <f t="shared" si="99"/>
        <v>1541.2</v>
      </c>
      <c r="AO108" s="109" t="str">
        <f t="shared" si="100"/>
        <v/>
      </c>
      <c r="AP108" s="4"/>
      <c r="AQ108" s="4"/>
      <c r="AR108" s="5">
        <f t="shared" si="101"/>
        <v>0</v>
      </c>
      <c r="AS108" s="9" t="str">
        <f t="shared" si="102"/>
        <v/>
      </c>
      <c r="AT108" s="4"/>
      <c r="AU108" s="4"/>
      <c r="AV108" s="5">
        <f t="shared" si="103"/>
        <v>0</v>
      </c>
      <c r="AW108" s="9" t="str">
        <f t="shared" si="104"/>
        <v/>
      </c>
      <c r="AX108" s="5">
        <f t="shared" si="105"/>
        <v>1541.2</v>
      </c>
      <c r="AY108" s="5">
        <v>0</v>
      </c>
      <c r="AZ108" s="5">
        <f t="shared" si="106"/>
        <v>1541.2</v>
      </c>
      <c r="BA108" s="9" t="str">
        <f t="shared" si="107"/>
        <v/>
      </c>
    </row>
    <row r="109" spans="1:53" x14ac:dyDescent="0.25">
      <c r="A109" s="3" t="s">
        <v>156</v>
      </c>
      <c r="B109" s="4"/>
      <c r="C109" s="4"/>
      <c r="D109" s="5">
        <f t="shared" si="81"/>
        <v>0</v>
      </c>
      <c r="E109" s="9" t="str">
        <f t="shared" si="82"/>
        <v/>
      </c>
      <c r="F109" s="4"/>
      <c r="G109" s="4"/>
      <c r="H109" s="5">
        <f t="shared" si="83"/>
        <v>0</v>
      </c>
      <c r="I109" s="9" t="str">
        <f t="shared" si="84"/>
        <v/>
      </c>
      <c r="J109" s="4"/>
      <c r="K109" s="4"/>
      <c r="L109" s="5">
        <f t="shared" si="85"/>
        <v>0</v>
      </c>
      <c r="M109" s="9" t="str">
        <f t="shared" si="86"/>
        <v/>
      </c>
      <c r="N109" s="4"/>
      <c r="O109" s="4"/>
      <c r="P109" s="5">
        <f t="shared" si="87"/>
        <v>0</v>
      </c>
      <c r="Q109" s="9" t="str">
        <f t="shared" si="88"/>
        <v/>
      </c>
      <c r="R109" s="4"/>
      <c r="S109" s="4"/>
      <c r="T109" s="5">
        <f t="shared" si="89"/>
        <v>0</v>
      </c>
      <c r="U109" s="9" t="str">
        <f t="shared" si="90"/>
        <v/>
      </c>
      <c r="V109" s="4"/>
      <c r="W109" s="4"/>
      <c r="X109" s="5">
        <f t="shared" si="91"/>
        <v>0</v>
      </c>
      <c r="Y109" s="9" t="str">
        <f t="shared" si="92"/>
        <v/>
      </c>
      <c r="Z109" s="4"/>
      <c r="AA109" s="4"/>
      <c r="AB109" s="5">
        <f t="shared" si="93"/>
        <v>0</v>
      </c>
      <c r="AC109" s="9" t="str">
        <f t="shared" si="94"/>
        <v/>
      </c>
      <c r="AD109" s="4"/>
      <c r="AE109" s="4"/>
      <c r="AF109" s="5">
        <f t="shared" si="95"/>
        <v>0</v>
      </c>
      <c r="AG109" s="9" t="str">
        <f t="shared" si="96"/>
        <v/>
      </c>
      <c r="AH109" s="4"/>
      <c r="AI109" s="4"/>
      <c r="AJ109" s="5">
        <f t="shared" si="97"/>
        <v>0</v>
      </c>
      <c r="AK109" s="9" t="str">
        <f t="shared" si="98"/>
        <v/>
      </c>
      <c r="AL109" s="107"/>
      <c r="AM109" s="107"/>
      <c r="AN109" s="108">
        <f t="shared" si="99"/>
        <v>0</v>
      </c>
      <c r="AO109" s="109" t="str">
        <f t="shared" si="100"/>
        <v/>
      </c>
      <c r="AP109" s="5">
        <f>73.61</f>
        <v>73.61</v>
      </c>
      <c r="AQ109" s="4"/>
      <c r="AR109" s="5">
        <f t="shared" si="101"/>
        <v>73.61</v>
      </c>
      <c r="AS109" s="9" t="str">
        <f t="shared" si="102"/>
        <v/>
      </c>
      <c r="AT109" s="4"/>
      <c r="AU109" s="4"/>
      <c r="AV109" s="5">
        <f t="shared" si="103"/>
        <v>0</v>
      </c>
      <c r="AW109" s="9" t="str">
        <f t="shared" si="104"/>
        <v/>
      </c>
      <c r="AX109" s="5">
        <f t="shared" si="105"/>
        <v>73.61</v>
      </c>
      <c r="AY109" s="5">
        <v>0</v>
      </c>
      <c r="AZ109" s="5">
        <f t="shared" si="106"/>
        <v>73.61</v>
      </c>
      <c r="BA109" s="9" t="str">
        <f t="shared" si="107"/>
        <v/>
      </c>
    </row>
    <row r="110" spans="1:53" x14ac:dyDescent="0.25">
      <c r="A110" s="3" t="s">
        <v>155</v>
      </c>
      <c r="B110" s="4"/>
      <c r="C110" s="4"/>
      <c r="D110" s="5">
        <f t="shared" si="81"/>
        <v>0</v>
      </c>
      <c r="E110" s="9" t="str">
        <f t="shared" si="82"/>
        <v/>
      </c>
      <c r="F110" s="4"/>
      <c r="G110" s="4"/>
      <c r="H110" s="5">
        <f t="shared" si="83"/>
        <v>0</v>
      </c>
      <c r="I110" s="9" t="str">
        <f t="shared" si="84"/>
        <v/>
      </c>
      <c r="J110" s="4"/>
      <c r="K110" s="4"/>
      <c r="L110" s="5">
        <f t="shared" si="85"/>
        <v>0</v>
      </c>
      <c r="M110" s="9" t="str">
        <f t="shared" si="86"/>
        <v/>
      </c>
      <c r="N110" s="4"/>
      <c r="O110" s="4"/>
      <c r="P110" s="5">
        <f t="shared" si="87"/>
        <v>0</v>
      </c>
      <c r="Q110" s="9" t="str">
        <f t="shared" si="88"/>
        <v/>
      </c>
      <c r="R110" s="4"/>
      <c r="S110" s="4"/>
      <c r="T110" s="5">
        <f t="shared" si="89"/>
        <v>0</v>
      </c>
      <c r="U110" s="9" t="str">
        <f t="shared" si="90"/>
        <v/>
      </c>
      <c r="V110" s="4"/>
      <c r="W110" s="4"/>
      <c r="X110" s="5">
        <f t="shared" si="91"/>
        <v>0</v>
      </c>
      <c r="Y110" s="9" t="str">
        <f t="shared" si="92"/>
        <v/>
      </c>
      <c r="Z110" s="5">
        <f>125</f>
        <v>125</v>
      </c>
      <c r="AA110" s="4"/>
      <c r="AB110" s="5">
        <f t="shared" si="93"/>
        <v>125</v>
      </c>
      <c r="AC110" s="9" t="str">
        <f t="shared" si="94"/>
        <v/>
      </c>
      <c r="AD110" s="4"/>
      <c r="AE110" s="4"/>
      <c r="AF110" s="5">
        <f t="shared" si="95"/>
        <v>0</v>
      </c>
      <c r="AG110" s="9" t="str">
        <f t="shared" si="96"/>
        <v/>
      </c>
      <c r="AH110" s="5">
        <f>125</f>
        <v>125</v>
      </c>
      <c r="AI110" s="4"/>
      <c r="AJ110" s="5">
        <f t="shared" si="97"/>
        <v>125</v>
      </c>
      <c r="AK110" s="9" t="str">
        <f t="shared" si="98"/>
        <v/>
      </c>
      <c r="AL110" s="107"/>
      <c r="AM110" s="107"/>
      <c r="AN110" s="108">
        <f t="shared" si="99"/>
        <v>0</v>
      </c>
      <c r="AO110" s="109" t="str">
        <f t="shared" si="100"/>
        <v/>
      </c>
      <c r="AP110" s="4"/>
      <c r="AQ110" s="4"/>
      <c r="AR110" s="5">
        <f t="shared" si="101"/>
        <v>0</v>
      </c>
      <c r="AS110" s="9" t="str">
        <f t="shared" si="102"/>
        <v/>
      </c>
      <c r="AT110" s="4"/>
      <c r="AU110" s="4"/>
      <c r="AV110" s="5">
        <f t="shared" si="103"/>
        <v>0</v>
      </c>
      <c r="AW110" s="9" t="str">
        <f t="shared" si="104"/>
        <v/>
      </c>
      <c r="AX110" s="5">
        <f t="shared" si="105"/>
        <v>250</v>
      </c>
      <c r="AY110" s="5">
        <v>0</v>
      </c>
      <c r="AZ110" s="5">
        <f t="shared" si="106"/>
        <v>250</v>
      </c>
      <c r="BA110" s="9" t="str">
        <f t="shared" si="107"/>
        <v/>
      </c>
    </row>
    <row r="111" spans="1:53" x14ac:dyDescent="0.25">
      <c r="A111" s="3" t="s">
        <v>154</v>
      </c>
      <c r="B111" s="5">
        <f>1234.56</f>
        <v>1234.56</v>
      </c>
      <c r="C111" s="4"/>
      <c r="D111" s="5">
        <f t="shared" si="81"/>
        <v>1234.56</v>
      </c>
      <c r="E111" s="9" t="str">
        <f t="shared" si="82"/>
        <v/>
      </c>
      <c r="F111" s="5">
        <f>468.49</f>
        <v>468.49</v>
      </c>
      <c r="G111" s="4"/>
      <c r="H111" s="5">
        <f t="shared" si="83"/>
        <v>468.49</v>
      </c>
      <c r="I111" s="9" t="str">
        <f t="shared" si="84"/>
        <v/>
      </c>
      <c r="J111" s="5">
        <f>1964.37</f>
        <v>1964.37</v>
      </c>
      <c r="K111" s="4"/>
      <c r="L111" s="5">
        <f t="shared" si="85"/>
        <v>1964.37</v>
      </c>
      <c r="M111" s="9" t="str">
        <f t="shared" si="86"/>
        <v/>
      </c>
      <c r="N111" s="5">
        <f>1191.01</f>
        <v>1191.01</v>
      </c>
      <c r="O111" s="4"/>
      <c r="P111" s="5">
        <f t="shared" si="87"/>
        <v>1191.01</v>
      </c>
      <c r="Q111" s="9" t="str">
        <f t="shared" si="88"/>
        <v/>
      </c>
      <c r="R111" s="4"/>
      <c r="S111" s="4"/>
      <c r="T111" s="5">
        <f t="shared" si="89"/>
        <v>0</v>
      </c>
      <c r="U111" s="9" t="str">
        <f t="shared" si="90"/>
        <v/>
      </c>
      <c r="V111" s="5">
        <f>1659.96</f>
        <v>1659.96</v>
      </c>
      <c r="W111" s="4"/>
      <c r="X111" s="5">
        <f t="shared" si="91"/>
        <v>1659.96</v>
      </c>
      <c r="Y111" s="9" t="str">
        <f t="shared" si="92"/>
        <v/>
      </c>
      <c r="Z111" s="5">
        <f>2474.44</f>
        <v>2474.44</v>
      </c>
      <c r="AA111" s="4"/>
      <c r="AB111" s="5">
        <f t="shared" si="93"/>
        <v>2474.44</v>
      </c>
      <c r="AC111" s="9" t="str">
        <f t="shared" si="94"/>
        <v/>
      </c>
      <c r="AD111" s="5">
        <f>1576.73</f>
        <v>1576.73</v>
      </c>
      <c r="AE111" s="4"/>
      <c r="AF111" s="5">
        <f t="shared" si="95"/>
        <v>1576.73</v>
      </c>
      <c r="AG111" s="9" t="str">
        <f t="shared" si="96"/>
        <v/>
      </c>
      <c r="AH111" s="5">
        <f>2451.51</f>
        <v>2451.5100000000002</v>
      </c>
      <c r="AI111" s="4"/>
      <c r="AJ111" s="5">
        <f t="shared" si="97"/>
        <v>2451.5100000000002</v>
      </c>
      <c r="AK111" s="9" t="str">
        <f t="shared" si="98"/>
        <v/>
      </c>
      <c r="AL111" s="108">
        <f>271.55</f>
        <v>271.55</v>
      </c>
      <c r="AM111" s="107"/>
      <c r="AN111" s="108">
        <f t="shared" si="99"/>
        <v>271.55</v>
      </c>
      <c r="AO111" s="109" t="str">
        <f t="shared" si="100"/>
        <v/>
      </c>
      <c r="AP111" s="5">
        <f>1948.14</f>
        <v>1948.14</v>
      </c>
      <c r="AQ111" s="4"/>
      <c r="AR111" s="5">
        <f t="shared" si="101"/>
        <v>1948.14</v>
      </c>
      <c r="AS111" s="9" t="str">
        <f t="shared" si="102"/>
        <v/>
      </c>
      <c r="AT111" s="4"/>
      <c r="AU111" s="4"/>
      <c r="AV111" s="5">
        <f t="shared" si="103"/>
        <v>0</v>
      </c>
      <c r="AW111" s="9" t="str">
        <f t="shared" si="104"/>
        <v/>
      </c>
      <c r="AX111" s="5">
        <f t="shared" si="105"/>
        <v>15240.759999999998</v>
      </c>
      <c r="AY111" s="5">
        <v>0</v>
      </c>
      <c r="AZ111" s="5">
        <f t="shared" si="106"/>
        <v>15240.759999999998</v>
      </c>
      <c r="BA111" s="9" t="str">
        <f t="shared" si="107"/>
        <v/>
      </c>
    </row>
    <row r="112" spans="1:53" x14ac:dyDescent="0.25">
      <c r="A112" s="3" t="s">
        <v>153</v>
      </c>
      <c r="B112" s="4"/>
      <c r="C112" s="4"/>
      <c r="D112" s="5">
        <f t="shared" si="81"/>
        <v>0</v>
      </c>
      <c r="E112" s="9" t="str">
        <f t="shared" si="82"/>
        <v/>
      </c>
      <c r="F112" s="4"/>
      <c r="G112" s="4"/>
      <c r="H112" s="5">
        <f t="shared" si="83"/>
        <v>0</v>
      </c>
      <c r="I112" s="9" t="str">
        <f t="shared" si="84"/>
        <v/>
      </c>
      <c r="J112" s="5">
        <f>97.16</f>
        <v>97.16</v>
      </c>
      <c r="K112" s="4"/>
      <c r="L112" s="5">
        <f t="shared" si="85"/>
        <v>97.16</v>
      </c>
      <c r="M112" s="9" t="str">
        <f t="shared" si="86"/>
        <v/>
      </c>
      <c r="N112" s="4"/>
      <c r="O112" s="4"/>
      <c r="P112" s="5">
        <f t="shared" si="87"/>
        <v>0</v>
      </c>
      <c r="Q112" s="9" t="str">
        <f t="shared" si="88"/>
        <v/>
      </c>
      <c r="R112" s="4"/>
      <c r="S112" s="4"/>
      <c r="T112" s="5">
        <f t="shared" si="89"/>
        <v>0</v>
      </c>
      <c r="U112" s="9" t="str">
        <f t="shared" si="90"/>
        <v/>
      </c>
      <c r="V112" s="4"/>
      <c r="W112" s="4"/>
      <c r="X112" s="5">
        <f t="shared" si="91"/>
        <v>0</v>
      </c>
      <c r="Y112" s="9" t="str">
        <f t="shared" si="92"/>
        <v/>
      </c>
      <c r="Z112" s="5">
        <f>758.63</f>
        <v>758.63</v>
      </c>
      <c r="AA112" s="4"/>
      <c r="AB112" s="5">
        <f t="shared" si="93"/>
        <v>758.63</v>
      </c>
      <c r="AC112" s="9" t="str">
        <f t="shared" si="94"/>
        <v/>
      </c>
      <c r="AD112" s="4"/>
      <c r="AE112" s="4"/>
      <c r="AF112" s="5">
        <f t="shared" si="95"/>
        <v>0</v>
      </c>
      <c r="AG112" s="9" t="str">
        <f t="shared" si="96"/>
        <v/>
      </c>
      <c r="AH112" s="5">
        <f>943.37</f>
        <v>943.37</v>
      </c>
      <c r="AI112" s="4"/>
      <c r="AJ112" s="5">
        <f t="shared" si="97"/>
        <v>943.37</v>
      </c>
      <c r="AK112" s="9" t="str">
        <f t="shared" si="98"/>
        <v/>
      </c>
      <c r="AL112" s="108">
        <f>496.07</f>
        <v>496.07</v>
      </c>
      <c r="AM112" s="107"/>
      <c r="AN112" s="108">
        <f t="shared" si="99"/>
        <v>496.07</v>
      </c>
      <c r="AO112" s="109" t="str">
        <f t="shared" si="100"/>
        <v/>
      </c>
      <c r="AP112" s="5">
        <f>496.07</f>
        <v>496.07</v>
      </c>
      <c r="AQ112" s="4"/>
      <c r="AR112" s="5">
        <f t="shared" si="101"/>
        <v>496.07</v>
      </c>
      <c r="AS112" s="9" t="str">
        <f t="shared" si="102"/>
        <v/>
      </c>
      <c r="AT112" s="4"/>
      <c r="AU112" s="4"/>
      <c r="AV112" s="5">
        <f t="shared" si="103"/>
        <v>0</v>
      </c>
      <c r="AW112" s="9" t="str">
        <f t="shared" si="104"/>
        <v/>
      </c>
      <c r="AX112" s="5">
        <f t="shared" si="105"/>
        <v>2791.3</v>
      </c>
      <c r="AY112" s="5">
        <v>0</v>
      </c>
      <c r="AZ112" s="5">
        <f t="shared" si="106"/>
        <v>2791.3</v>
      </c>
      <c r="BA112" s="9" t="str">
        <f t="shared" si="107"/>
        <v/>
      </c>
    </row>
    <row r="113" spans="1:53" x14ac:dyDescent="0.25">
      <c r="A113" s="3" t="s">
        <v>152</v>
      </c>
      <c r="B113" s="7">
        <f>((((B108)+(B109))+(B110))+(B111))+(B112)</f>
        <v>1234.56</v>
      </c>
      <c r="C113" s="7">
        <f>((((C108)+(C109))+(C110))+(C111))+(C112)</f>
        <v>0</v>
      </c>
      <c r="D113" s="7">
        <f t="shared" si="81"/>
        <v>1234.56</v>
      </c>
      <c r="E113" s="8" t="str">
        <f t="shared" si="82"/>
        <v/>
      </c>
      <c r="F113" s="7">
        <f>((((F108)+(F109))+(F110))+(F111))+(F112)</f>
        <v>468.49</v>
      </c>
      <c r="G113" s="7">
        <f>((((G108)+(G109))+(G110))+(G111))+(G112)</f>
        <v>0</v>
      </c>
      <c r="H113" s="7">
        <f t="shared" si="83"/>
        <v>468.49</v>
      </c>
      <c r="I113" s="8" t="str">
        <f t="shared" si="84"/>
        <v/>
      </c>
      <c r="J113" s="7">
        <f>((((J108)+(J109))+(J110))+(J111))+(J112)</f>
        <v>2061.5299999999997</v>
      </c>
      <c r="K113" s="7">
        <f>((((K108)+(K109))+(K110))+(K111))+(K112)</f>
        <v>0</v>
      </c>
      <c r="L113" s="7">
        <f t="shared" si="85"/>
        <v>2061.5299999999997</v>
      </c>
      <c r="M113" s="8" t="str">
        <f t="shared" si="86"/>
        <v/>
      </c>
      <c r="N113" s="7">
        <f>((((N108)+(N109))+(N110))+(N111))+(N112)</f>
        <v>1191.01</v>
      </c>
      <c r="O113" s="7">
        <f>((((O108)+(O109))+(O110))+(O111))+(O112)</f>
        <v>0</v>
      </c>
      <c r="P113" s="7">
        <f t="shared" si="87"/>
        <v>1191.01</v>
      </c>
      <c r="Q113" s="8" t="str">
        <f t="shared" si="88"/>
        <v/>
      </c>
      <c r="R113" s="7">
        <f>((((R108)+(R109))+(R110))+(R111))+(R112)</f>
        <v>0</v>
      </c>
      <c r="S113" s="7">
        <f>((((S108)+(S109))+(S110))+(S111))+(S112)</f>
        <v>0</v>
      </c>
      <c r="T113" s="7">
        <f t="shared" si="89"/>
        <v>0</v>
      </c>
      <c r="U113" s="8" t="str">
        <f t="shared" si="90"/>
        <v/>
      </c>
      <c r="V113" s="7">
        <f>((((V108)+(V109))+(V110))+(V111))+(V112)</f>
        <v>1659.96</v>
      </c>
      <c r="W113" s="7">
        <f>((((W108)+(W109))+(W110))+(W111))+(W112)</f>
        <v>0</v>
      </c>
      <c r="X113" s="7">
        <f t="shared" si="91"/>
        <v>1659.96</v>
      </c>
      <c r="Y113" s="8" t="str">
        <f t="shared" si="92"/>
        <v/>
      </c>
      <c r="Z113" s="7">
        <f>((((Z108)+(Z109))+(Z110))+(Z111))+(Z112)</f>
        <v>3358.07</v>
      </c>
      <c r="AA113" s="7">
        <f>((((AA108)+(AA109))+(AA110))+(AA111))+(AA112)</f>
        <v>0</v>
      </c>
      <c r="AB113" s="7">
        <f t="shared" si="93"/>
        <v>3358.07</v>
      </c>
      <c r="AC113" s="8" t="str">
        <f t="shared" si="94"/>
        <v/>
      </c>
      <c r="AD113" s="7">
        <f>((((AD108)+(AD109))+(AD110))+(AD111))+(AD112)</f>
        <v>1576.73</v>
      </c>
      <c r="AE113" s="7">
        <f>((((AE108)+(AE109))+(AE110))+(AE111))+(AE112)</f>
        <v>0</v>
      </c>
      <c r="AF113" s="7">
        <f t="shared" si="95"/>
        <v>1576.73</v>
      </c>
      <c r="AG113" s="8" t="str">
        <f t="shared" si="96"/>
        <v/>
      </c>
      <c r="AH113" s="7">
        <f>((((AH108)+(AH109))+(AH110))+(AH111))+(AH112)</f>
        <v>3519.88</v>
      </c>
      <c r="AI113" s="7">
        <f>((((AI108)+(AI109))+(AI110))+(AI111))+(AI112)</f>
        <v>0</v>
      </c>
      <c r="AJ113" s="7">
        <f t="shared" si="97"/>
        <v>3519.88</v>
      </c>
      <c r="AK113" s="8" t="str">
        <f t="shared" si="98"/>
        <v/>
      </c>
      <c r="AL113" s="110">
        <f>((((AL108)+(AL109))+(AL110))+(AL111))+(AL112)</f>
        <v>2308.8200000000002</v>
      </c>
      <c r="AM113" s="110">
        <f>((((AM108)+(AM109))+(AM110))+(AM111))+(AM112)</f>
        <v>0</v>
      </c>
      <c r="AN113" s="110">
        <f t="shared" si="99"/>
        <v>2308.8200000000002</v>
      </c>
      <c r="AO113" s="111" t="str">
        <f t="shared" si="100"/>
        <v/>
      </c>
      <c r="AP113" s="7">
        <f>((((AP108)+(AP109))+(AP110))+(AP111))+(AP112)</f>
        <v>2517.8200000000002</v>
      </c>
      <c r="AQ113" s="7">
        <f>((((AQ108)+(AQ109))+(AQ110))+(AQ111))+(AQ112)</f>
        <v>0</v>
      </c>
      <c r="AR113" s="7">
        <f t="shared" si="101"/>
        <v>2517.8200000000002</v>
      </c>
      <c r="AS113" s="8" t="str">
        <f t="shared" si="102"/>
        <v/>
      </c>
      <c r="AT113" s="7">
        <f>((((AT108)+(AT109))+(AT110))+(AT111))+(AT112)</f>
        <v>0</v>
      </c>
      <c r="AU113" s="7">
        <f>((((AU108)+(AU109))+(AU110))+(AU111))+(AU112)</f>
        <v>0</v>
      </c>
      <c r="AV113" s="7">
        <f t="shared" si="103"/>
        <v>0</v>
      </c>
      <c r="AW113" s="8" t="str">
        <f t="shared" si="104"/>
        <v/>
      </c>
      <c r="AX113" s="7">
        <f t="shared" si="105"/>
        <v>19896.87</v>
      </c>
      <c r="AY113" s="7">
        <v>0</v>
      </c>
      <c r="AZ113" s="7">
        <f t="shared" si="106"/>
        <v>19896.87</v>
      </c>
      <c r="BA113" s="8" t="str">
        <f t="shared" si="107"/>
        <v/>
      </c>
    </row>
    <row r="114" spans="1:53" x14ac:dyDescent="0.25">
      <c r="A114" s="3" t="s">
        <v>151</v>
      </c>
      <c r="B114" s="4"/>
      <c r="C114" s="4"/>
      <c r="D114" s="5">
        <f t="shared" si="81"/>
        <v>0</v>
      </c>
      <c r="E114" s="9" t="str">
        <f t="shared" si="82"/>
        <v/>
      </c>
      <c r="F114" s="4"/>
      <c r="G114" s="4"/>
      <c r="H114" s="5">
        <f t="shared" si="83"/>
        <v>0</v>
      </c>
      <c r="I114" s="9" t="str">
        <f t="shared" si="84"/>
        <v/>
      </c>
      <c r="J114" s="4"/>
      <c r="K114" s="4"/>
      <c r="L114" s="5">
        <f t="shared" si="85"/>
        <v>0</v>
      </c>
      <c r="M114" s="9" t="str">
        <f t="shared" si="86"/>
        <v/>
      </c>
      <c r="N114" s="4"/>
      <c r="O114" s="4"/>
      <c r="P114" s="5">
        <f t="shared" si="87"/>
        <v>0</v>
      </c>
      <c r="Q114" s="9" t="str">
        <f t="shared" si="88"/>
        <v/>
      </c>
      <c r="R114" s="4"/>
      <c r="S114" s="4"/>
      <c r="T114" s="5">
        <f t="shared" si="89"/>
        <v>0</v>
      </c>
      <c r="U114" s="9" t="str">
        <f t="shared" si="90"/>
        <v/>
      </c>
      <c r="V114" s="4"/>
      <c r="W114" s="4"/>
      <c r="X114" s="5">
        <f t="shared" si="91"/>
        <v>0</v>
      </c>
      <c r="Y114" s="9" t="str">
        <f t="shared" si="92"/>
        <v/>
      </c>
      <c r="Z114" s="4"/>
      <c r="AA114" s="4"/>
      <c r="AB114" s="5">
        <f t="shared" si="93"/>
        <v>0</v>
      </c>
      <c r="AC114" s="9" t="str">
        <f t="shared" si="94"/>
        <v/>
      </c>
      <c r="AD114" s="4"/>
      <c r="AE114" s="4"/>
      <c r="AF114" s="5">
        <f t="shared" si="95"/>
        <v>0</v>
      </c>
      <c r="AG114" s="9" t="str">
        <f t="shared" si="96"/>
        <v/>
      </c>
      <c r="AH114" s="4"/>
      <c r="AI114" s="4"/>
      <c r="AJ114" s="5">
        <f t="shared" si="97"/>
        <v>0</v>
      </c>
      <c r="AK114" s="9" t="str">
        <f t="shared" si="98"/>
        <v/>
      </c>
      <c r="AL114" s="107"/>
      <c r="AM114" s="107"/>
      <c r="AN114" s="108">
        <f t="shared" si="99"/>
        <v>0</v>
      </c>
      <c r="AO114" s="109" t="str">
        <f t="shared" si="100"/>
        <v/>
      </c>
      <c r="AP114" s="4"/>
      <c r="AQ114" s="4"/>
      <c r="AR114" s="5">
        <f t="shared" si="101"/>
        <v>0</v>
      </c>
      <c r="AS114" s="9" t="str">
        <f t="shared" si="102"/>
        <v/>
      </c>
      <c r="AT114" s="4"/>
      <c r="AU114" s="4"/>
      <c r="AV114" s="5">
        <f t="shared" si="103"/>
        <v>0</v>
      </c>
      <c r="AW114" s="9" t="str">
        <f t="shared" si="104"/>
        <v/>
      </c>
      <c r="AX114" s="5">
        <f t="shared" si="105"/>
        <v>0</v>
      </c>
      <c r="AY114" s="5">
        <v>0</v>
      </c>
      <c r="AZ114" s="5">
        <f t="shared" si="106"/>
        <v>0</v>
      </c>
      <c r="BA114" s="9" t="str">
        <f t="shared" si="107"/>
        <v/>
      </c>
    </row>
    <row r="115" spans="1:53" x14ac:dyDescent="0.25">
      <c r="A115" s="3" t="s">
        <v>150</v>
      </c>
      <c r="B115" s="4"/>
      <c r="C115" s="5">
        <f>0</f>
        <v>0</v>
      </c>
      <c r="D115" s="5">
        <f t="shared" si="81"/>
        <v>0</v>
      </c>
      <c r="E115" s="9" t="str">
        <f t="shared" si="82"/>
        <v/>
      </c>
      <c r="F115" s="4"/>
      <c r="G115" s="5">
        <f>0</f>
        <v>0</v>
      </c>
      <c r="H115" s="5">
        <f t="shared" si="83"/>
        <v>0</v>
      </c>
      <c r="I115" s="9" t="str">
        <f t="shared" si="84"/>
        <v/>
      </c>
      <c r="J115" s="4"/>
      <c r="K115" s="5">
        <f>0</f>
        <v>0</v>
      </c>
      <c r="L115" s="5">
        <f t="shared" si="85"/>
        <v>0</v>
      </c>
      <c r="M115" s="9" t="str">
        <f t="shared" si="86"/>
        <v/>
      </c>
      <c r="N115" s="4"/>
      <c r="O115" s="5">
        <f>0</f>
        <v>0</v>
      </c>
      <c r="P115" s="5">
        <f t="shared" si="87"/>
        <v>0</v>
      </c>
      <c r="Q115" s="9" t="str">
        <f t="shared" si="88"/>
        <v/>
      </c>
      <c r="R115" s="4"/>
      <c r="S115" s="5">
        <f>0</f>
        <v>0</v>
      </c>
      <c r="T115" s="5">
        <f t="shared" si="89"/>
        <v>0</v>
      </c>
      <c r="U115" s="9" t="str">
        <f t="shared" si="90"/>
        <v/>
      </c>
      <c r="V115" s="4"/>
      <c r="W115" s="5">
        <f>0</f>
        <v>0</v>
      </c>
      <c r="X115" s="5">
        <f t="shared" si="91"/>
        <v>0</v>
      </c>
      <c r="Y115" s="9" t="str">
        <f t="shared" si="92"/>
        <v/>
      </c>
      <c r="Z115" s="4"/>
      <c r="AA115" s="5">
        <f>83.33</f>
        <v>83.33</v>
      </c>
      <c r="AB115" s="5">
        <f t="shared" si="93"/>
        <v>-83.33</v>
      </c>
      <c r="AC115" s="9">
        <f t="shared" si="94"/>
        <v>0</v>
      </c>
      <c r="AD115" s="5">
        <f>143.78</f>
        <v>143.78</v>
      </c>
      <c r="AE115" s="5">
        <f>83.33</f>
        <v>83.33</v>
      </c>
      <c r="AF115" s="5">
        <f t="shared" si="95"/>
        <v>60.45</v>
      </c>
      <c r="AG115" s="9">
        <f t="shared" si="96"/>
        <v>1.7254290171606865</v>
      </c>
      <c r="AH115" s="4"/>
      <c r="AI115" s="5">
        <f>83.35</f>
        <v>83.35</v>
      </c>
      <c r="AJ115" s="5">
        <f t="shared" si="97"/>
        <v>-83.35</v>
      </c>
      <c r="AK115" s="9">
        <f t="shared" si="98"/>
        <v>0</v>
      </c>
      <c r="AL115" s="107"/>
      <c r="AM115" s="108">
        <f>83.33</f>
        <v>83.33</v>
      </c>
      <c r="AN115" s="108">
        <f t="shared" si="99"/>
        <v>-83.33</v>
      </c>
      <c r="AO115" s="109">
        <f t="shared" si="100"/>
        <v>0</v>
      </c>
      <c r="AP115" s="4"/>
      <c r="AQ115" s="5">
        <f>83.33</f>
        <v>83.33</v>
      </c>
      <c r="AR115" s="5">
        <f t="shared" si="101"/>
        <v>-83.33</v>
      </c>
      <c r="AS115" s="9">
        <f t="shared" si="102"/>
        <v>0</v>
      </c>
      <c r="AT115" s="4"/>
      <c r="AU115" s="5">
        <f>83.33</f>
        <v>83.33</v>
      </c>
      <c r="AV115" s="5">
        <f t="shared" si="103"/>
        <v>-83.33</v>
      </c>
      <c r="AW115" s="9">
        <f t="shared" si="104"/>
        <v>0</v>
      </c>
      <c r="AX115" s="5">
        <f t="shared" si="105"/>
        <v>143.78</v>
      </c>
      <c r="AY115" s="5">
        <v>499.99999999999994</v>
      </c>
      <c r="AZ115" s="5">
        <f t="shared" si="106"/>
        <v>-356.21999999999991</v>
      </c>
      <c r="BA115" s="9">
        <f t="shared" si="107"/>
        <v>0.28756000000000004</v>
      </c>
    </row>
    <row r="116" spans="1:53" x14ac:dyDescent="0.25">
      <c r="A116" s="3" t="s">
        <v>149</v>
      </c>
      <c r="B116" s="4"/>
      <c r="C116" s="4"/>
      <c r="D116" s="5">
        <f t="shared" si="81"/>
        <v>0</v>
      </c>
      <c r="E116" s="9" t="str">
        <f t="shared" si="82"/>
        <v/>
      </c>
      <c r="F116" s="5">
        <f>58.36</f>
        <v>58.36</v>
      </c>
      <c r="G116" s="4"/>
      <c r="H116" s="5">
        <f t="shared" si="83"/>
        <v>58.36</v>
      </c>
      <c r="I116" s="9" t="str">
        <f t="shared" si="84"/>
        <v/>
      </c>
      <c r="J116" s="5">
        <f>61.83</f>
        <v>61.83</v>
      </c>
      <c r="K116" s="4"/>
      <c r="L116" s="5">
        <f t="shared" si="85"/>
        <v>61.83</v>
      </c>
      <c r="M116" s="9" t="str">
        <f t="shared" si="86"/>
        <v/>
      </c>
      <c r="N116" s="4"/>
      <c r="O116" s="4"/>
      <c r="P116" s="5">
        <f t="shared" si="87"/>
        <v>0</v>
      </c>
      <c r="Q116" s="9" t="str">
        <f t="shared" si="88"/>
        <v/>
      </c>
      <c r="R116" s="5">
        <f>9.96</f>
        <v>9.9600000000000009</v>
      </c>
      <c r="S116" s="4"/>
      <c r="T116" s="5">
        <f t="shared" si="89"/>
        <v>9.9600000000000009</v>
      </c>
      <c r="U116" s="9" t="str">
        <f t="shared" si="90"/>
        <v/>
      </c>
      <c r="V116" s="4"/>
      <c r="W116" s="4"/>
      <c r="X116" s="5">
        <f t="shared" si="91"/>
        <v>0</v>
      </c>
      <c r="Y116" s="9" t="str">
        <f t="shared" si="92"/>
        <v/>
      </c>
      <c r="Z116" s="4"/>
      <c r="AA116" s="4"/>
      <c r="AB116" s="5">
        <f t="shared" si="93"/>
        <v>0</v>
      </c>
      <c r="AC116" s="9" t="str">
        <f t="shared" si="94"/>
        <v/>
      </c>
      <c r="AD116" s="4"/>
      <c r="AE116" s="4"/>
      <c r="AF116" s="5">
        <f t="shared" si="95"/>
        <v>0</v>
      </c>
      <c r="AG116" s="9" t="str">
        <f t="shared" si="96"/>
        <v/>
      </c>
      <c r="AH116" s="4"/>
      <c r="AI116" s="4"/>
      <c r="AJ116" s="5">
        <f t="shared" si="97"/>
        <v>0</v>
      </c>
      <c r="AK116" s="9" t="str">
        <f t="shared" si="98"/>
        <v/>
      </c>
      <c r="AL116" s="107"/>
      <c r="AM116" s="107"/>
      <c r="AN116" s="108">
        <f t="shared" si="99"/>
        <v>0</v>
      </c>
      <c r="AO116" s="109" t="str">
        <f t="shared" si="100"/>
        <v/>
      </c>
      <c r="AP116" s="5">
        <f>21.19</f>
        <v>21.19</v>
      </c>
      <c r="AQ116" s="4"/>
      <c r="AR116" s="5">
        <f t="shared" si="101"/>
        <v>21.19</v>
      </c>
      <c r="AS116" s="9" t="str">
        <f t="shared" si="102"/>
        <v/>
      </c>
      <c r="AT116" s="4"/>
      <c r="AU116" s="4"/>
      <c r="AV116" s="5">
        <f t="shared" si="103"/>
        <v>0</v>
      </c>
      <c r="AW116" s="9" t="str">
        <f t="shared" si="104"/>
        <v/>
      </c>
      <c r="AX116" s="5">
        <f t="shared" si="105"/>
        <v>151.34</v>
      </c>
      <c r="AY116" s="5">
        <v>0</v>
      </c>
      <c r="AZ116" s="5">
        <f t="shared" si="106"/>
        <v>151.34</v>
      </c>
      <c r="BA116" s="9" t="str">
        <f t="shared" si="107"/>
        <v/>
      </c>
    </row>
    <row r="117" spans="1:53" x14ac:dyDescent="0.25">
      <c r="A117" s="3" t="s">
        <v>148</v>
      </c>
      <c r="B117" s="7">
        <f>((B114)+(B115))+(B116)</f>
        <v>0</v>
      </c>
      <c r="C117" s="7">
        <f>((C114)+(C115))+(C116)</f>
        <v>0</v>
      </c>
      <c r="D117" s="7">
        <f t="shared" si="81"/>
        <v>0</v>
      </c>
      <c r="E117" s="8" t="str">
        <f t="shared" si="82"/>
        <v/>
      </c>
      <c r="F117" s="7">
        <f>((F114)+(F115))+(F116)</f>
        <v>58.36</v>
      </c>
      <c r="G117" s="7">
        <f>((G114)+(G115))+(G116)</f>
        <v>0</v>
      </c>
      <c r="H117" s="7">
        <f t="shared" si="83"/>
        <v>58.36</v>
      </c>
      <c r="I117" s="8" t="str">
        <f t="shared" si="84"/>
        <v/>
      </c>
      <c r="J117" s="7">
        <f>((J114)+(J115))+(J116)</f>
        <v>61.83</v>
      </c>
      <c r="K117" s="7">
        <f>((K114)+(K115))+(K116)</f>
        <v>0</v>
      </c>
      <c r="L117" s="7">
        <f t="shared" si="85"/>
        <v>61.83</v>
      </c>
      <c r="M117" s="8" t="str">
        <f t="shared" si="86"/>
        <v/>
      </c>
      <c r="N117" s="7">
        <f>((N114)+(N115))+(N116)</f>
        <v>0</v>
      </c>
      <c r="O117" s="7">
        <f>((O114)+(O115))+(O116)</f>
        <v>0</v>
      </c>
      <c r="P117" s="7">
        <f t="shared" si="87"/>
        <v>0</v>
      </c>
      <c r="Q117" s="8" t="str">
        <f t="shared" si="88"/>
        <v/>
      </c>
      <c r="R117" s="7">
        <f>((R114)+(R115))+(R116)</f>
        <v>9.9600000000000009</v>
      </c>
      <c r="S117" s="7">
        <f>((S114)+(S115))+(S116)</f>
        <v>0</v>
      </c>
      <c r="T117" s="7">
        <f t="shared" si="89"/>
        <v>9.9600000000000009</v>
      </c>
      <c r="U117" s="8" t="str">
        <f t="shared" si="90"/>
        <v/>
      </c>
      <c r="V117" s="7">
        <f>((V114)+(V115))+(V116)</f>
        <v>0</v>
      </c>
      <c r="W117" s="7">
        <f>((W114)+(W115))+(W116)</f>
        <v>0</v>
      </c>
      <c r="X117" s="7">
        <f t="shared" si="91"/>
        <v>0</v>
      </c>
      <c r="Y117" s="8" t="str">
        <f t="shared" si="92"/>
        <v/>
      </c>
      <c r="Z117" s="7">
        <f>((Z114)+(Z115))+(Z116)</f>
        <v>0</v>
      </c>
      <c r="AA117" s="7">
        <f>((AA114)+(AA115))+(AA116)</f>
        <v>83.33</v>
      </c>
      <c r="AB117" s="7">
        <f t="shared" si="93"/>
        <v>-83.33</v>
      </c>
      <c r="AC117" s="8">
        <f t="shared" si="94"/>
        <v>0</v>
      </c>
      <c r="AD117" s="7">
        <f>((AD114)+(AD115))+(AD116)</f>
        <v>143.78</v>
      </c>
      <c r="AE117" s="7">
        <f>((AE114)+(AE115))+(AE116)</f>
        <v>83.33</v>
      </c>
      <c r="AF117" s="7">
        <f t="shared" si="95"/>
        <v>60.45</v>
      </c>
      <c r="AG117" s="8">
        <f t="shared" si="96"/>
        <v>1.7254290171606865</v>
      </c>
      <c r="AH117" s="7">
        <f>((AH114)+(AH115))+(AH116)</f>
        <v>0</v>
      </c>
      <c r="AI117" s="7">
        <f>((AI114)+(AI115))+(AI116)</f>
        <v>83.35</v>
      </c>
      <c r="AJ117" s="7">
        <f t="shared" si="97"/>
        <v>-83.35</v>
      </c>
      <c r="AK117" s="8">
        <f t="shared" si="98"/>
        <v>0</v>
      </c>
      <c r="AL117" s="110">
        <f>((AL114)+(AL115))+(AL116)</f>
        <v>0</v>
      </c>
      <c r="AM117" s="110">
        <f>((AM114)+(AM115))+(AM116)</f>
        <v>83.33</v>
      </c>
      <c r="AN117" s="110">
        <f t="shared" si="99"/>
        <v>-83.33</v>
      </c>
      <c r="AO117" s="111">
        <f t="shared" si="100"/>
        <v>0</v>
      </c>
      <c r="AP117" s="7">
        <f>((AP114)+(AP115))+(AP116)</f>
        <v>21.19</v>
      </c>
      <c r="AQ117" s="7">
        <f>((AQ114)+(AQ115))+(AQ116)</f>
        <v>83.33</v>
      </c>
      <c r="AR117" s="7">
        <f t="shared" si="101"/>
        <v>-62.14</v>
      </c>
      <c r="AS117" s="8">
        <f t="shared" si="102"/>
        <v>0.25429017160686429</v>
      </c>
      <c r="AT117" s="7">
        <f>((AT114)+(AT115))+(AT116)</f>
        <v>0</v>
      </c>
      <c r="AU117" s="7">
        <f>((AU114)+(AU115))+(AU116)</f>
        <v>83.33</v>
      </c>
      <c r="AV117" s="7">
        <f t="shared" si="103"/>
        <v>-83.33</v>
      </c>
      <c r="AW117" s="8">
        <f t="shared" si="104"/>
        <v>0</v>
      </c>
      <c r="AX117" s="7">
        <f t="shared" si="105"/>
        <v>295.12</v>
      </c>
      <c r="AY117" s="7">
        <v>499.99999999999994</v>
      </c>
      <c r="AZ117" s="7">
        <f t="shared" si="106"/>
        <v>-204.87999999999994</v>
      </c>
      <c r="BA117" s="8">
        <f t="shared" si="107"/>
        <v>0.5902400000000001</v>
      </c>
    </row>
    <row r="118" spans="1:53" x14ac:dyDescent="0.25">
      <c r="A118" s="3" t="s">
        <v>147</v>
      </c>
      <c r="B118" s="4"/>
      <c r="C118" s="4"/>
      <c r="D118" s="5">
        <f t="shared" si="81"/>
        <v>0</v>
      </c>
      <c r="E118" s="9" t="str">
        <f t="shared" si="82"/>
        <v/>
      </c>
      <c r="F118" s="4"/>
      <c r="G118" s="4"/>
      <c r="H118" s="5">
        <f t="shared" si="83"/>
        <v>0</v>
      </c>
      <c r="I118" s="9" t="str">
        <f t="shared" si="84"/>
        <v/>
      </c>
      <c r="J118" s="4"/>
      <c r="K118" s="4"/>
      <c r="L118" s="5">
        <f t="shared" si="85"/>
        <v>0</v>
      </c>
      <c r="M118" s="9" t="str">
        <f t="shared" si="86"/>
        <v/>
      </c>
      <c r="N118" s="4"/>
      <c r="O118" s="4"/>
      <c r="P118" s="5">
        <f t="shared" si="87"/>
        <v>0</v>
      </c>
      <c r="Q118" s="9" t="str">
        <f t="shared" si="88"/>
        <v/>
      </c>
      <c r="R118" s="4"/>
      <c r="S118" s="4"/>
      <c r="T118" s="5">
        <f t="shared" si="89"/>
        <v>0</v>
      </c>
      <c r="U118" s="9" t="str">
        <f t="shared" si="90"/>
        <v/>
      </c>
      <c r="V118" s="4"/>
      <c r="W118" s="4"/>
      <c r="X118" s="5">
        <f t="shared" si="91"/>
        <v>0</v>
      </c>
      <c r="Y118" s="9" t="str">
        <f t="shared" si="92"/>
        <v/>
      </c>
      <c r="Z118" s="4"/>
      <c r="AA118" s="4"/>
      <c r="AB118" s="5">
        <f t="shared" si="93"/>
        <v>0</v>
      </c>
      <c r="AC118" s="9" t="str">
        <f t="shared" si="94"/>
        <v/>
      </c>
      <c r="AD118" s="4"/>
      <c r="AE118" s="4"/>
      <c r="AF118" s="5">
        <f t="shared" si="95"/>
        <v>0</v>
      </c>
      <c r="AG118" s="9" t="str">
        <f t="shared" si="96"/>
        <v/>
      </c>
      <c r="AH118" s="4"/>
      <c r="AI118" s="4"/>
      <c r="AJ118" s="5">
        <f t="shared" si="97"/>
        <v>0</v>
      </c>
      <c r="AK118" s="9" t="str">
        <f t="shared" si="98"/>
        <v/>
      </c>
      <c r="AL118" s="107"/>
      <c r="AM118" s="107"/>
      <c r="AN118" s="108">
        <f t="shared" si="99"/>
        <v>0</v>
      </c>
      <c r="AO118" s="109" t="str">
        <f t="shared" si="100"/>
        <v/>
      </c>
      <c r="AP118" s="5">
        <f>150</f>
        <v>150</v>
      </c>
      <c r="AQ118" s="4"/>
      <c r="AR118" s="5">
        <f t="shared" si="101"/>
        <v>150</v>
      </c>
      <c r="AS118" s="9" t="str">
        <f t="shared" si="102"/>
        <v/>
      </c>
      <c r="AT118" s="4"/>
      <c r="AU118" s="4"/>
      <c r="AV118" s="5">
        <f t="shared" si="103"/>
        <v>0</v>
      </c>
      <c r="AW118" s="9" t="str">
        <f t="shared" si="104"/>
        <v/>
      </c>
      <c r="AX118" s="5">
        <f t="shared" si="105"/>
        <v>150</v>
      </c>
      <c r="AY118" s="5">
        <v>0</v>
      </c>
      <c r="AZ118" s="5">
        <f t="shared" si="106"/>
        <v>150</v>
      </c>
      <c r="BA118" s="9" t="str">
        <f t="shared" si="107"/>
        <v/>
      </c>
    </row>
    <row r="119" spans="1:53" x14ac:dyDescent="0.25">
      <c r="A119" s="3" t="s">
        <v>146</v>
      </c>
      <c r="B119" s="5">
        <f>0</f>
        <v>0</v>
      </c>
      <c r="C119" s="4"/>
      <c r="D119" s="5">
        <f t="shared" si="81"/>
        <v>0</v>
      </c>
      <c r="E119" s="9" t="str">
        <f t="shared" si="82"/>
        <v/>
      </c>
      <c r="F119" s="4"/>
      <c r="G119" s="4"/>
      <c r="H119" s="5">
        <f t="shared" si="83"/>
        <v>0</v>
      </c>
      <c r="I119" s="9" t="str">
        <f t="shared" si="84"/>
        <v/>
      </c>
      <c r="J119" s="5">
        <f>195.9</f>
        <v>195.9</v>
      </c>
      <c r="K119" s="4"/>
      <c r="L119" s="5">
        <f t="shared" si="85"/>
        <v>195.9</v>
      </c>
      <c r="M119" s="9" t="str">
        <f t="shared" si="86"/>
        <v/>
      </c>
      <c r="N119" s="5">
        <f>0</f>
        <v>0</v>
      </c>
      <c r="O119" s="4"/>
      <c r="P119" s="5">
        <f t="shared" si="87"/>
        <v>0</v>
      </c>
      <c r="Q119" s="9" t="str">
        <f t="shared" si="88"/>
        <v/>
      </c>
      <c r="R119" s="4"/>
      <c r="S119" s="4"/>
      <c r="T119" s="5">
        <f t="shared" si="89"/>
        <v>0</v>
      </c>
      <c r="U119" s="9" t="str">
        <f t="shared" si="90"/>
        <v/>
      </c>
      <c r="V119" s="5">
        <f>377.78</f>
        <v>377.78</v>
      </c>
      <c r="W119" s="4"/>
      <c r="X119" s="5">
        <f t="shared" si="91"/>
        <v>377.78</v>
      </c>
      <c r="Y119" s="9" t="str">
        <f t="shared" si="92"/>
        <v/>
      </c>
      <c r="Z119" s="5">
        <f>83.95</f>
        <v>83.95</v>
      </c>
      <c r="AA119" s="4"/>
      <c r="AB119" s="5">
        <f t="shared" si="93"/>
        <v>83.95</v>
      </c>
      <c r="AC119" s="9" t="str">
        <f t="shared" si="94"/>
        <v/>
      </c>
      <c r="AD119" s="5">
        <f>7289.39</f>
        <v>7289.39</v>
      </c>
      <c r="AE119" s="4"/>
      <c r="AF119" s="5">
        <f t="shared" si="95"/>
        <v>7289.39</v>
      </c>
      <c r="AG119" s="9" t="str">
        <f t="shared" si="96"/>
        <v/>
      </c>
      <c r="AH119" s="5">
        <f>1515.22</f>
        <v>1515.22</v>
      </c>
      <c r="AI119" s="4"/>
      <c r="AJ119" s="5">
        <f t="shared" si="97"/>
        <v>1515.22</v>
      </c>
      <c r="AK119" s="9" t="str">
        <f t="shared" si="98"/>
        <v/>
      </c>
      <c r="AL119" s="108">
        <f>292.36</f>
        <v>292.36</v>
      </c>
      <c r="AM119" s="107"/>
      <c r="AN119" s="108">
        <f t="shared" si="99"/>
        <v>292.36</v>
      </c>
      <c r="AO119" s="109" t="str">
        <f t="shared" si="100"/>
        <v/>
      </c>
      <c r="AP119" s="5">
        <f>6713.41</f>
        <v>6713.41</v>
      </c>
      <c r="AQ119" s="4"/>
      <c r="AR119" s="5">
        <f t="shared" si="101"/>
        <v>6713.41</v>
      </c>
      <c r="AS119" s="9" t="str">
        <f t="shared" si="102"/>
        <v/>
      </c>
      <c r="AT119" s="5">
        <f>634.97</f>
        <v>634.97</v>
      </c>
      <c r="AU119" s="4"/>
      <c r="AV119" s="5">
        <f t="shared" si="103"/>
        <v>634.97</v>
      </c>
      <c r="AW119" s="9" t="str">
        <f t="shared" si="104"/>
        <v/>
      </c>
      <c r="AX119" s="5">
        <f t="shared" si="105"/>
        <v>17102.980000000003</v>
      </c>
      <c r="AY119" s="5">
        <v>0</v>
      </c>
      <c r="AZ119" s="5">
        <f t="shared" si="106"/>
        <v>17102.980000000003</v>
      </c>
      <c r="BA119" s="9" t="str">
        <f t="shared" si="107"/>
        <v/>
      </c>
    </row>
    <row r="120" spans="1:53" x14ac:dyDescent="0.25">
      <c r="A120" s="3" t="s">
        <v>145</v>
      </c>
      <c r="B120" s="4"/>
      <c r="C120" s="4"/>
      <c r="D120" s="5">
        <f t="shared" si="81"/>
        <v>0</v>
      </c>
      <c r="E120" s="9" t="str">
        <f t="shared" si="82"/>
        <v/>
      </c>
      <c r="F120" s="4"/>
      <c r="G120" s="4"/>
      <c r="H120" s="5">
        <f t="shared" si="83"/>
        <v>0</v>
      </c>
      <c r="I120" s="9" t="str">
        <f t="shared" si="84"/>
        <v/>
      </c>
      <c r="J120" s="4"/>
      <c r="K120" s="4"/>
      <c r="L120" s="5">
        <f t="shared" si="85"/>
        <v>0</v>
      </c>
      <c r="M120" s="9" t="str">
        <f t="shared" si="86"/>
        <v/>
      </c>
      <c r="N120" s="4"/>
      <c r="O120" s="4"/>
      <c r="P120" s="5">
        <f t="shared" si="87"/>
        <v>0</v>
      </c>
      <c r="Q120" s="9" t="str">
        <f t="shared" si="88"/>
        <v/>
      </c>
      <c r="R120" s="4"/>
      <c r="S120" s="4"/>
      <c r="T120" s="5">
        <f t="shared" si="89"/>
        <v>0</v>
      </c>
      <c r="U120" s="9" t="str">
        <f t="shared" si="90"/>
        <v/>
      </c>
      <c r="V120" s="4"/>
      <c r="W120" s="4"/>
      <c r="X120" s="5">
        <f t="shared" si="91"/>
        <v>0</v>
      </c>
      <c r="Y120" s="9" t="str">
        <f t="shared" si="92"/>
        <v/>
      </c>
      <c r="Z120" s="4"/>
      <c r="AA120" s="4"/>
      <c r="AB120" s="5">
        <f t="shared" si="93"/>
        <v>0</v>
      </c>
      <c r="AC120" s="9" t="str">
        <f t="shared" si="94"/>
        <v/>
      </c>
      <c r="AD120" s="4"/>
      <c r="AE120" s="4"/>
      <c r="AF120" s="5">
        <f t="shared" si="95"/>
        <v>0</v>
      </c>
      <c r="AG120" s="9" t="str">
        <f t="shared" si="96"/>
        <v/>
      </c>
      <c r="AH120" s="4"/>
      <c r="AI120" s="4"/>
      <c r="AJ120" s="5">
        <f t="shared" si="97"/>
        <v>0</v>
      </c>
      <c r="AK120" s="9" t="str">
        <f t="shared" si="98"/>
        <v/>
      </c>
      <c r="AL120" s="108">
        <f>6400.33</f>
        <v>6400.33</v>
      </c>
      <c r="AM120" s="107"/>
      <c r="AN120" s="108">
        <f t="shared" si="99"/>
        <v>6400.33</v>
      </c>
      <c r="AO120" s="109" t="str">
        <f t="shared" si="100"/>
        <v/>
      </c>
      <c r="AP120" s="5">
        <f>3352.08</f>
        <v>3352.08</v>
      </c>
      <c r="AQ120" s="4"/>
      <c r="AR120" s="5">
        <f t="shared" si="101"/>
        <v>3352.08</v>
      </c>
      <c r="AS120" s="9" t="str">
        <f t="shared" si="102"/>
        <v/>
      </c>
      <c r="AT120" s="4"/>
      <c r="AU120" s="4"/>
      <c r="AV120" s="5">
        <f t="shared" si="103"/>
        <v>0</v>
      </c>
      <c r="AW120" s="9" t="str">
        <f t="shared" si="104"/>
        <v/>
      </c>
      <c r="AX120" s="5">
        <f t="shared" si="105"/>
        <v>9752.41</v>
      </c>
      <c r="AY120" s="5">
        <v>0</v>
      </c>
      <c r="AZ120" s="5">
        <f t="shared" si="106"/>
        <v>9752.41</v>
      </c>
      <c r="BA120" s="9" t="str">
        <f t="shared" si="107"/>
        <v/>
      </c>
    </row>
    <row r="121" spans="1:53" x14ac:dyDescent="0.25">
      <c r="A121" s="3" t="s">
        <v>144</v>
      </c>
      <c r="B121" s="4"/>
      <c r="C121" s="4"/>
      <c r="D121" s="5">
        <f t="shared" si="81"/>
        <v>0</v>
      </c>
      <c r="E121" s="9" t="str">
        <f t="shared" si="82"/>
        <v/>
      </c>
      <c r="F121" s="5">
        <f>2069.15</f>
        <v>2069.15</v>
      </c>
      <c r="G121" s="4"/>
      <c r="H121" s="5">
        <f t="shared" si="83"/>
        <v>2069.15</v>
      </c>
      <c r="I121" s="9" t="str">
        <f t="shared" si="84"/>
        <v/>
      </c>
      <c r="J121" s="4"/>
      <c r="K121" s="4"/>
      <c r="L121" s="5">
        <f t="shared" si="85"/>
        <v>0</v>
      </c>
      <c r="M121" s="9" t="str">
        <f t="shared" si="86"/>
        <v/>
      </c>
      <c r="N121" s="4"/>
      <c r="O121" s="4"/>
      <c r="P121" s="5">
        <f t="shared" si="87"/>
        <v>0</v>
      </c>
      <c r="Q121" s="9" t="str">
        <f t="shared" si="88"/>
        <v/>
      </c>
      <c r="R121" s="4"/>
      <c r="S121" s="4"/>
      <c r="T121" s="5">
        <f t="shared" si="89"/>
        <v>0</v>
      </c>
      <c r="U121" s="9" t="str">
        <f t="shared" si="90"/>
        <v/>
      </c>
      <c r="V121" s="4"/>
      <c r="W121" s="4"/>
      <c r="X121" s="5">
        <f t="shared" si="91"/>
        <v>0</v>
      </c>
      <c r="Y121" s="9" t="str">
        <f t="shared" si="92"/>
        <v/>
      </c>
      <c r="Z121" s="4"/>
      <c r="AA121" s="4"/>
      <c r="AB121" s="5">
        <f t="shared" si="93"/>
        <v>0</v>
      </c>
      <c r="AC121" s="9" t="str">
        <f t="shared" si="94"/>
        <v/>
      </c>
      <c r="AD121" s="4"/>
      <c r="AE121" s="4"/>
      <c r="AF121" s="5">
        <f t="shared" si="95"/>
        <v>0</v>
      </c>
      <c r="AG121" s="9" t="str">
        <f t="shared" si="96"/>
        <v/>
      </c>
      <c r="AH121" s="5">
        <f>228</f>
        <v>228</v>
      </c>
      <c r="AI121" s="4"/>
      <c r="AJ121" s="5">
        <f t="shared" si="97"/>
        <v>228</v>
      </c>
      <c r="AK121" s="9" t="str">
        <f t="shared" si="98"/>
        <v/>
      </c>
      <c r="AL121" s="107"/>
      <c r="AM121" s="107"/>
      <c r="AN121" s="108">
        <f t="shared" si="99"/>
        <v>0</v>
      </c>
      <c r="AO121" s="109" t="str">
        <f t="shared" si="100"/>
        <v/>
      </c>
      <c r="AP121" s="4"/>
      <c r="AQ121" s="4"/>
      <c r="AR121" s="5">
        <f t="shared" si="101"/>
        <v>0</v>
      </c>
      <c r="AS121" s="9" t="str">
        <f t="shared" si="102"/>
        <v/>
      </c>
      <c r="AT121" s="4"/>
      <c r="AU121" s="4"/>
      <c r="AV121" s="5">
        <f t="shared" si="103"/>
        <v>0</v>
      </c>
      <c r="AW121" s="9" t="str">
        <f t="shared" si="104"/>
        <v/>
      </c>
      <c r="AX121" s="5">
        <f t="shared" si="105"/>
        <v>2297.15</v>
      </c>
      <c r="AY121" s="5">
        <v>0</v>
      </c>
      <c r="AZ121" s="5">
        <f t="shared" si="106"/>
        <v>2297.15</v>
      </c>
      <c r="BA121" s="9" t="str">
        <f t="shared" si="107"/>
        <v/>
      </c>
    </row>
    <row r="122" spans="1:53" x14ac:dyDescent="0.25">
      <c r="A122" s="3" t="s">
        <v>143</v>
      </c>
      <c r="B122" s="4"/>
      <c r="C122" s="4"/>
      <c r="D122" s="5">
        <f t="shared" si="81"/>
        <v>0</v>
      </c>
      <c r="E122" s="9" t="str">
        <f t="shared" si="82"/>
        <v/>
      </c>
      <c r="F122" s="5">
        <f>662.9</f>
        <v>662.9</v>
      </c>
      <c r="G122" s="4"/>
      <c r="H122" s="5">
        <f t="shared" si="83"/>
        <v>662.9</v>
      </c>
      <c r="I122" s="9" t="str">
        <f t="shared" si="84"/>
        <v/>
      </c>
      <c r="J122" s="4"/>
      <c r="K122" s="4"/>
      <c r="L122" s="5">
        <f t="shared" si="85"/>
        <v>0</v>
      </c>
      <c r="M122" s="9" t="str">
        <f t="shared" si="86"/>
        <v/>
      </c>
      <c r="N122" s="4"/>
      <c r="O122" s="4"/>
      <c r="P122" s="5">
        <f t="shared" si="87"/>
        <v>0</v>
      </c>
      <c r="Q122" s="9" t="str">
        <f t="shared" si="88"/>
        <v/>
      </c>
      <c r="R122" s="4"/>
      <c r="S122" s="4"/>
      <c r="T122" s="5">
        <f t="shared" si="89"/>
        <v>0</v>
      </c>
      <c r="U122" s="9" t="str">
        <f t="shared" si="90"/>
        <v/>
      </c>
      <c r="V122" s="4"/>
      <c r="W122" s="4"/>
      <c r="X122" s="5">
        <f t="shared" si="91"/>
        <v>0</v>
      </c>
      <c r="Y122" s="9" t="str">
        <f t="shared" si="92"/>
        <v/>
      </c>
      <c r="Z122" s="4"/>
      <c r="AA122" s="4"/>
      <c r="AB122" s="5">
        <f t="shared" si="93"/>
        <v>0</v>
      </c>
      <c r="AC122" s="9" t="str">
        <f t="shared" si="94"/>
        <v/>
      </c>
      <c r="AD122" s="5">
        <f>142.03</f>
        <v>142.03</v>
      </c>
      <c r="AE122" s="4"/>
      <c r="AF122" s="5">
        <f t="shared" si="95"/>
        <v>142.03</v>
      </c>
      <c r="AG122" s="9" t="str">
        <f t="shared" si="96"/>
        <v/>
      </c>
      <c r="AH122" s="4"/>
      <c r="AI122" s="4"/>
      <c r="AJ122" s="5">
        <f t="shared" si="97"/>
        <v>0</v>
      </c>
      <c r="AK122" s="9" t="str">
        <f t="shared" si="98"/>
        <v/>
      </c>
      <c r="AL122" s="107"/>
      <c r="AM122" s="107"/>
      <c r="AN122" s="108">
        <f t="shared" si="99"/>
        <v>0</v>
      </c>
      <c r="AO122" s="109" t="str">
        <f t="shared" si="100"/>
        <v/>
      </c>
      <c r="AP122" s="5">
        <f>345</f>
        <v>345</v>
      </c>
      <c r="AQ122" s="4"/>
      <c r="AR122" s="5">
        <f t="shared" si="101"/>
        <v>345</v>
      </c>
      <c r="AS122" s="9" t="str">
        <f t="shared" si="102"/>
        <v/>
      </c>
      <c r="AT122" s="4"/>
      <c r="AU122" s="4"/>
      <c r="AV122" s="5">
        <f t="shared" si="103"/>
        <v>0</v>
      </c>
      <c r="AW122" s="9" t="str">
        <f t="shared" si="104"/>
        <v/>
      </c>
      <c r="AX122" s="5">
        <f t="shared" si="105"/>
        <v>1149.9299999999998</v>
      </c>
      <c r="AY122" s="5">
        <v>0</v>
      </c>
      <c r="AZ122" s="5">
        <f t="shared" si="106"/>
        <v>1149.9299999999998</v>
      </c>
      <c r="BA122" s="9" t="str">
        <f t="shared" si="107"/>
        <v/>
      </c>
    </row>
    <row r="123" spans="1:53" x14ac:dyDescent="0.25">
      <c r="A123" s="3" t="s">
        <v>142</v>
      </c>
      <c r="B123" s="5">
        <f>614.98</f>
        <v>614.98</v>
      </c>
      <c r="C123" s="4"/>
      <c r="D123" s="5">
        <f t="shared" si="81"/>
        <v>614.98</v>
      </c>
      <c r="E123" s="9" t="str">
        <f t="shared" si="82"/>
        <v/>
      </c>
      <c r="F123" s="5">
        <f>506.74</f>
        <v>506.74</v>
      </c>
      <c r="G123" s="4"/>
      <c r="H123" s="5">
        <f t="shared" si="83"/>
        <v>506.74</v>
      </c>
      <c r="I123" s="9" t="str">
        <f t="shared" si="84"/>
        <v/>
      </c>
      <c r="J123" s="5">
        <f>64.03</f>
        <v>64.03</v>
      </c>
      <c r="K123" s="4"/>
      <c r="L123" s="5">
        <f t="shared" si="85"/>
        <v>64.03</v>
      </c>
      <c r="M123" s="9" t="str">
        <f t="shared" si="86"/>
        <v/>
      </c>
      <c r="N123" s="4"/>
      <c r="O123" s="4"/>
      <c r="P123" s="5">
        <f t="shared" si="87"/>
        <v>0</v>
      </c>
      <c r="Q123" s="9" t="str">
        <f t="shared" si="88"/>
        <v/>
      </c>
      <c r="R123" s="5">
        <f>669.71</f>
        <v>669.71</v>
      </c>
      <c r="S123" s="4"/>
      <c r="T123" s="5">
        <f t="shared" si="89"/>
        <v>669.71</v>
      </c>
      <c r="U123" s="9" t="str">
        <f t="shared" si="90"/>
        <v/>
      </c>
      <c r="V123" s="5">
        <f>139.55</f>
        <v>139.55000000000001</v>
      </c>
      <c r="W123" s="4"/>
      <c r="X123" s="5">
        <f t="shared" si="91"/>
        <v>139.55000000000001</v>
      </c>
      <c r="Y123" s="9" t="str">
        <f t="shared" si="92"/>
        <v/>
      </c>
      <c r="Z123" s="4"/>
      <c r="AA123" s="4"/>
      <c r="AB123" s="5">
        <f t="shared" si="93"/>
        <v>0</v>
      </c>
      <c r="AC123" s="9" t="str">
        <f t="shared" si="94"/>
        <v/>
      </c>
      <c r="AD123" s="5">
        <f>16.25</f>
        <v>16.25</v>
      </c>
      <c r="AE123" s="4"/>
      <c r="AF123" s="5">
        <f t="shared" si="95"/>
        <v>16.25</v>
      </c>
      <c r="AG123" s="9" t="str">
        <f t="shared" si="96"/>
        <v/>
      </c>
      <c r="AH123" s="5">
        <f>1249.56</f>
        <v>1249.56</v>
      </c>
      <c r="AI123" s="4"/>
      <c r="AJ123" s="5">
        <f t="shared" si="97"/>
        <v>1249.56</v>
      </c>
      <c r="AK123" s="9" t="str">
        <f t="shared" si="98"/>
        <v/>
      </c>
      <c r="AL123" s="108">
        <f>302.21</f>
        <v>302.20999999999998</v>
      </c>
      <c r="AM123" s="107"/>
      <c r="AN123" s="108">
        <f t="shared" si="99"/>
        <v>302.20999999999998</v>
      </c>
      <c r="AO123" s="109" t="str">
        <f t="shared" si="100"/>
        <v/>
      </c>
      <c r="AP123" s="5">
        <f>679.45</f>
        <v>679.45</v>
      </c>
      <c r="AQ123" s="4"/>
      <c r="AR123" s="5">
        <f t="shared" si="101"/>
        <v>679.45</v>
      </c>
      <c r="AS123" s="9" t="str">
        <f t="shared" si="102"/>
        <v/>
      </c>
      <c r="AT123" s="5">
        <f>313.5</f>
        <v>313.5</v>
      </c>
      <c r="AU123" s="4"/>
      <c r="AV123" s="5">
        <f t="shared" si="103"/>
        <v>313.5</v>
      </c>
      <c r="AW123" s="9" t="str">
        <f t="shared" si="104"/>
        <v/>
      </c>
      <c r="AX123" s="5">
        <f t="shared" si="105"/>
        <v>4555.9799999999996</v>
      </c>
      <c r="AY123" s="5">
        <v>0</v>
      </c>
      <c r="AZ123" s="5">
        <f t="shared" si="106"/>
        <v>4555.9799999999996</v>
      </c>
      <c r="BA123" s="9" t="str">
        <f t="shared" si="107"/>
        <v/>
      </c>
    </row>
    <row r="124" spans="1:53" x14ac:dyDescent="0.25">
      <c r="A124" s="3" t="s">
        <v>141</v>
      </c>
      <c r="B124" s="5">
        <f>1705.49</f>
        <v>1705.49</v>
      </c>
      <c r="C124" s="4"/>
      <c r="D124" s="5">
        <f t="shared" si="81"/>
        <v>1705.49</v>
      </c>
      <c r="E124" s="9" t="str">
        <f t="shared" si="82"/>
        <v/>
      </c>
      <c r="F124" s="4"/>
      <c r="G124" s="4"/>
      <c r="H124" s="5">
        <f t="shared" si="83"/>
        <v>0</v>
      </c>
      <c r="I124" s="9" t="str">
        <f t="shared" si="84"/>
        <v/>
      </c>
      <c r="J124" s="5">
        <f>1797.73</f>
        <v>1797.73</v>
      </c>
      <c r="K124" s="4"/>
      <c r="L124" s="5">
        <f t="shared" si="85"/>
        <v>1797.73</v>
      </c>
      <c r="M124" s="9" t="str">
        <f t="shared" si="86"/>
        <v/>
      </c>
      <c r="N124" s="5">
        <f>1566.78</f>
        <v>1566.78</v>
      </c>
      <c r="O124" s="4"/>
      <c r="P124" s="5">
        <f t="shared" si="87"/>
        <v>1566.78</v>
      </c>
      <c r="Q124" s="9" t="str">
        <f t="shared" si="88"/>
        <v/>
      </c>
      <c r="R124" s="5">
        <f>1792.63</f>
        <v>1792.63</v>
      </c>
      <c r="S124" s="4"/>
      <c r="T124" s="5">
        <f t="shared" si="89"/>
        <v>1792.63</v>
      </c>
      <c r="U124" s="9" t="str">
        <f t="shared" si="90"/>
        <v/>
      </c>
      <c r="V124" s="5">
        <f>1789.53</f>
        <v>1789.53</v>
      </c>
      <c r="W124" s="4"/>
      <c r="X124" s="5">
        <f t="shared" si="91"/>
        <v>1789.53</v>
      </c>
      <c r="Y124" s="9" t="str">
        <f t="shared" si="92"/>
        <v/>
      </c>
      <c r="Z124" s="5">
        <f>1733.88</f>
        <v>1733.88</v>
      </c>
      <c r="AA124" s="4"/>
      <c r="AB124" s="5">
        <f t="shared" si="93"/>
        <v>1733.88</v>
      </c>
      <c r="AC124" s="9" t="str">
        <f t="shared" si="94"/>
        <v/>
      </c>
      <c r="AD124" s="4"/>
      <c r="AE124" s="4"/>
      <c r="AF124" s="5">
        <f t="shared" si="95"/>
        <v>0</v>
      </c>
      <c r="AG124" s="9" t="str">
        <f t="shared" si="96"/>
        <v/>
      </c>
      <c r="AH124" s="5">
        <f>1752.33</f>
        <v>1752.33</v>
      </c>
      <c r="AI124" s="4"/>
      <c r="AJ124" s="5">
        <f t="shared" si="97"/>
        <v>1752.33</v>
      </c>
      <c r="AK124" s="9" t="str">
        <f t="shared" si="98"/>
        <v/>
      </c>
      <c r="AL124" s="108">
        <f>2037.88</f>
        <v>2037.88</v>
      </c>
      <c r="AM124" s="107"/>
      <c r="AN124" s="108">
        <f t="shared" si="99"/>
        <v>2037.88</v>
      </c>
      <c r="AO124" s="109" t="str">
        <f t="shared" si="100"/>
        <v/>
      </c>
      <c r="AP124" s="5">
        <f>2019.98</f>
        <v>2019.98</v>
      </c>
      <c r="AQ124" s="4"/>
      <c r="AR124" s="5">
        <f t="shared" si="101"/>
        <v>2019.98</v>
      </c>
      <c r="AS124" s="9" t="str">
        <f t="shared" si="102"/>
        <v/>
      </c>
      <c r="AT124" s="4"/>
      <c r="AU124" s="4"/>
      <c r="AV124" s="5">
        <f t="shared" si="103"/>
        <v>0</v>
      </c>
      <c r="AW124" s="9" t="str">
        <f t="shared" si="104"/>
        <v/>
      </c>
      <c r="AX124" s="5">
        <f t="shared" si="105"/>
        <v>16196.23</v>
      </c>
      <c r="AY124" s="5">
        <v>0</v>
      </c>
      <c r="AZ124" s="5">
        <f t="shared" si="106"/>
        <v>16196.23</v>
      </c>
      <c r="BA124" s="9" t="str">
        <f t="shared" si="107"/>
        <v/>
      </c>
    </row>
    <row r="125" spans="1:53" x14ac:dyDescent="0.25">
      <c r="A125" s="3" t="s">
        <v>140</v>
      </c>
      <c r="B125" s="5">
        <f>-16.4</f>
        <v>-16.399999999999999</v>
      </c>
      <c r="C125" s="4"/>
      <c r="D125" s="5">
        <f t="shared" si="81"/>
        <v>-16.399999999999999</v>
      </c>
      <c r="E125" s="9" t="str">
        <f t="shared" si="82"/>
        <v/>
      </c>
      <c r="F125" s="5">
        <f>-16.27</f>
        <v>-16.27</v>
      </c>
      <c r="G125" s="4"/>
      <c r="H125" s="5">
        <f t="shared" si="83"/>
        <v>-16.27</v>
      </c>
      <c r="I125" s="9" t="str">
        <f t="shared" si="84"/>
        <v/>
      </c>
      <c r="J125" s="5">
        <f>179.36</f>
        <v>179.36</v>
      </c>
      <c r="K125" s="4"/>
      <c r="L125" s="5">
        <f t="shared" si="85"/>
        <v>179.36</v>
      </c>
      <c r="M125" s="9" t="str">
        <f t="shared" si="86"/>
        <v/>
      </c>
      <c r="N125" s="5">
        <f>16.86</f>
        <v>16.86</v>
      </c>
      <c r="O125" s="4"/>
      <c r="P125" s="5">
        <f t="shared" si="87"/>
        <v>16.86</v>
      </c>
      <c r="Q125" s="9" t="str">
        <f t="shared" si="88"/>
        <v/>
      </c>
      <c r="R125" s="5">
        <f>0.36</f>
        <v>0.36</v>
      </c>
      <c r="S125" s="4"/>
      <c r="T125" s="5">
        <f t="shared" si="89"/>
        <v>0.36</v>
      </c>
      <c r="U125" s="9" t="str">
        <f t="shared" si="90"/>
        <v/>
      </c>
      <c r="V125" s="5">
        <f>0.36</f>
        <v>0.36</v>
      </c>
      <c r="W125" s="4"/>
      <c r="X125" s="5">
        <f t="shared" si="91"/>
        <v>0.36</v>
      </c>
      <c r="Y125" s="9" t="str">
        <f t="shared" si="92"/>
        <v/>
      </c>
      <c r="Z125" s="5">
        <f>16.86</f>
        <v>16.86</v>
      </c>
      <c r="AA125" s="4"/>
      <c r="AB125" s="5">
        <f t="shared" si="93"/>
        <v>16.86</v>
      </c>
      <c r="AC125" s="9" t="str">
        <f t="shared" si="94"/>
        <v/>
      </c>
      <c r="AD125" s="5">
        <f>-313.14</f>
        <v>-313.14</v>
      </c>
      <c r="AE125" s="4"/>
      <c r="AF125" s="5">
        <f t="shared" si="95"/>
        <v>-313.14</v>
      </c>
      <c r="AG125" s="9" t="str">
        <f t="shared" si="96"/>
        <v/>
      </c>
      <c r="AH125" s="5">
        <f>0</f>
        <v>0</v>
      </c>
      <c r="AI125" s="4"/>
      <c r="AJ125" s="5">
        <f t="shared" si="97"/>
        <v>0</v>
      </c>
      <c r="AK125" s="9" t="str">
        <f t="shared" si="98"/>
        <v/>
      </c>
      <c r="AL125" s="108">
        <f>4899.5</f>
        <v>4899.5</v>
      </c>
      <c r="AM125" s="107"/>
      <c r="AN125" s="108">
        <f t="shared" si="99"/>
        <v>4899.5</v>
      </c>
      <c r="AO125" s="109" t="str">
        <f t="shared" si="100"/>
        <v/>
      </c>
      <c r="AP125" s="5">
        <f>458</f>
        <v>458</v>
      </c>
      <c r="AQ125" s="4"/>
      <c r="AR125" s="5">
        <f t="shared" si="101"/>
        <v>458</v>
      </c>
      <c r="AS125" s="9" t="str">
        <f t="shared" si="102"/>
        <v/>
      </c>
      <c r="AT125" s="4"/>
      <c r="AU125" s="4"/>
      <c r="AV125" s="5">
        <f t="shared" si="103"/>
        <v>0</v>
      </c>
      <c r="AW125" s="9" t="str">
        <f t="shared" si="104"/>
        <v/>
      </c>
      <c r="AX125" s="5">
        <f t="shared" si="105"/>
        <v>5225.49</v>
      </c>
      <c r="AY125" s="5">
        <v>0</v>
      </c>
      <c r="AZ125" s="5">
        <f t="shared" si="106"/>
        <v>5225.49</v>
      </c>
      <c r="BA125" s="9" t="str">
        <f t="shared" si="107"/>
        <v/>
      </c>
    </row>
    <row r="126" spans="1:53" x14ac:dyDescent="0.25">
      <c r="A126" s="3" t="s">
        <v>139</v>
      </c>
      <c r="B126" s="4"/>
      <c r="C126" s="4"/>
      <c r="D126" s="5">
        <f t="shared" si="81"/>
        <v>0</v>
      </c>
      <c r="E126" s="9" t="str">
        <f t="shared" si="82"/>
        <v/>
      </c>
      <c r="F126" s="4"/>
      <c r="G126" s="4"/>
      <c r="H126" s="5">
        <f t="shared" si="83"/>
        <v>0</v>
      </c>
      <c r="I126" s="9" t="str">
        <f t="shared" si="84"/>
        <v/>
      </c>
      <c r="J126" s="4"/>
      <c r="K126" s="4"/>
      <c r="L126" s="5">
        <f t="shared" si="85"/>
        <v>0</v>
      </c>
      <c r="M126" s="9" t="str">
        <f t="shared" si="86"/>
        <v/>
      </c>
      <c r="N126" s="4"/>
      <c r="O126" s="4"/>
      <c r="P126" s="5">
        <f t="shared" si="87"/>
        <v>0</v>
      </c>
      <c r="Q126" s="9" t="str">
        <f t="shared" si="88"/>
        <v/>
      </c>
      <c r="R126" s="4"/>
      <c r="S126" s="4"/>
      <c r="T126" s="5">
        <f t="shared" si="89"/>
        <v>0</v>
      </c>
      <c r="U126" s="9" t="str">
        <f t="shared" si="90"/>
        <v/>
      </c>
      <c r="V126" s="4"/>
      <c r="W126" s="4"/>
      <c r="X126" s="5">
        <f t="shared" si="91"/>
        <v>0</v>
      </c>
      <c r="Y126" s="9" t="str">
        <f t="shared" si="92"/>
        <v/>
      </c>
      <c r="Z126" s="4"/>
      <c r="AA126" s="4"/>
      <c r="AB126" s="5">
        <f t="shared" si="93"/>
        <v>0</v>
      </c>
      <c r="AC126" s="9" t="str">
        <f t="shared" si="94"/>
        <v/>
      </c>
      <c r="AD126" s="5">
        <f>800</f>
        <v>800</v>
      </c>
      <c r="AE126" s="4"/>
      <c r="AF126" s="5">
        <f t="shared" si="95"/>
        <v>800</v>
      </c>
      <c r="AG126" s="9" t="str">
        <f t="shared" si="96"/>
        <v/>
      </c>
      <c r="AH126" s="4"/>
      <c r="AI126" s="4"/>
      <c r="AJ126" s="5">
        <f t="shared" si="97"/>
        <v>0</v>
      </c>
      <c r="AK126" s="9" t="str">
        <f t="shared" si="98"/>
        <v/>
      </c>
      <c r="AL126" s="107"/>
      <c r="AM126" s="107"/>
      <c r="AN126" s="108">
        <f t="shared" si="99"/>
        <v>0</v>
      </c>
      <c r="AO126" s="109" t="str">
        <f t="shared" si="100"/>
        <v/>
      </c>
      <c r="AP126" s="4"/>
      <c r="AQ126" s="4"/>
      <c r="AR126" s="5">
        <f t="shared" si="101"/>
        <v>0</v>
      </c>
      <c r="AS126" s="9" t="str">
        <f t="shared" si="102"/>
        <v/>
      </c>
      <c r="AT126" s="4"/>
      <c r="AU126" s="4"/>
      <c r="AV126" s="5">
        <f t="shared" si="103"/>
        <v>0</v>
      </c>
      <c r="AW126" s="9" t="str">
        <f t="shared" si="104"/>
        <v/>
      </c>
      <c r="AX126" s="5">
        <f t="shared" si="105"/>
        <v>800</v>
      </c>
      <c r="AY126" s="5">
        <v>0</v>
      </c>
      <c r="AZ126" s="5">
        <f t="shared" si="106"/>
        <v>800</v>
      </c>
      <c r="BA126" s="9" t="str">
        <f t="shared" si="107"/>
        <v/>
      </c>
    </row>
    <row r="127" spans="1:53" x14ac:dyDescent="0.25">
      <c r="A127" s="3" t="s">
        <v>138</v>
      </c>
      <c r="B127" s="5">
        <f>244.45</f>
        <v>244.45</v>
      </c>
      <c r="C127" s="5">
        <f>35</f>
        <v>35</v>
      </c>
      <c r="D127" s="5">
        <f t="shared" si="81"/>
        <v>209.45</v>
      </c>
      <c r="E127" s="9">
        <f t="shared" si="82"/>
        <v>6.984285714285714</v>
      </c>
      <c r="F127" s="5">
        <f>1927.47</f>
        <v>1927.47</v>
      </c>
      <c r="G127" s="5">
        <f>35</f>
        <v>35</v>
      </c>
      <c r="H127" s="5">
        <f t="shared" si="83"/>
        <v>1892.47</v>
      </c>
      <c r="I127" s="9">
        <f t="shared" si="84"/>
        <v>55.070571428571427</v>
      </c>
      <c r="J127" s="5">
        <f>5.2</f>
        <v>5.2</v>
      </c>
      <c r="K127" s="5">
        <f>35</f>
        <v>35</v>
      </c>
      <c r="L127" s="5">
        <f t="shared" si="85"/>
        <v>-29.8</v>
      </c>
      <c r="M127" s="9">
        <f t="shared" si="86"/>
        <v>0.14857142857142858</v>
      </c>
      <c r="N127" s="5">
        <f>0.5</f>
        <v>0.5</v>
      </c>
      <c r="O127" s="5">
        <f>35</f>
        <v>35</v>
      </c>
      <c r="P127" s="5">
        <f t="shared" si="87"/>
        <v>-34.5</v>
      </c>
      <c r="Q127" s="9">
        <f t="shared" si="88"/>
        <v>1.4285714285714285E-2</v>
      </c>
      <c r="R127" s="5">
        <f>72.7</f>
        <v>72.7</v>
      </c>
      <c r="S127" s="5">
        <f>35</f>
        <v>35</v>
      </c>
      <c r="T127" s="5">
        <f t="shared" si="89"/>
        <v>37.700000000000003</v>
      </c>
      <c r="U127" s="9">
        <f t="shared" si="90"/>
        <v>2.0771428571428574</v>
      </c>
      <c r="V127" s="4"/>
      <c r="W127" s="5">
        <f>35</f>
        <v>35</v>
      </c>
      <c r="X127" s="5">
        <f t="shared" si="91"/>
        <v>-35</v>
      </c>
      <c r="Y127" s="9">
        <f t="shared" si="92"/>
        <v>0</v>
      </c>
      <c r="Z127" s="5">
        <f>1.98</f>
        <v>1.98</v>
      </c>
      <c r="AA127" s="5">
        <f>35</f>
        <v>35</v>
      </c>
      <c r="AB127" s="5">
        <f t="shared" si="93"/>
        <v>-33.020000000000003</v>
      </c>
      <c r="AC127" s="9">
        <f t="shared" si="94"/>
        <v>5.6571428571428571E-2</v>
      </c>
      <c r="AD127" s="4"/>
      <c r="AE127" s="5">
        <f>35</f>
        <v>35</v>
      </c>
      <c r="AF127" s="5">
        <f t="shared" si="95"/>
        <v>-35</v>
      </c>
      <c r="AG127" s="9">
        <f t="shared" si="96"/>
        <v>0</v>
      </c>
      <c r="AH127" s="4"/>
      <c r="AI127" s="5">
        <f>35</f>
        <v>35</v>
      </c>
      <c r="AJ127" s="5">
        <f t="shared" si="97"/>
        <v>-35</v>
      </c>
      <c r="AK127" s="9">
        <f t="shared" si="98"/>
        <v>0</v>
      </c>
      <c r="AL127" s="107"/>
      <c r="AM127" s="108">
        <f>35</f>
        <v>35</v>
      </c>
      <c r="AN127" s="108">
        <f t="shared" si="99"/>
        <v>-35</v>
      </c>
      <c r="AO127" s="109">
        <f t="shared" si="100"/>
        <v>0</v>
      </c>
      <c r="AP127" s="4"/>
      <c r="AQ127" s="5">
        <f>35</f>
        <v>35</v>
      </c>
      <c r="AR127" s="5">
        <f t="shared" si="101"/>
        <v>-35</v>
      </c>
      <c r="AS127" s="9">
        <f t="shared" si="102"/>
        <v>0</v>
      </c>
      <c r="AT127" s="4"/>
      <c r="AU127" s="5">
        <f>35</f>
        <v>35</v>
      </c>
      <c r="AV127" s="5">
        <f t="shared" si="103"/>
        <v>-35</v>
      </c>
      <c r="AW127" s="9">
        <f t="shared" si="104"/>
        <v>0</v>
      </c>
      <c r="AX127" s="5">
        <f t="shared" si="105"/>
        <v>2252.2999999999997</v>
      </c>
      <c r="AY127" s="5">
        <v>420</v>
      </c>
      <c r="AZ127" s="5">
        <f t="shared" si="106"/>
        <v>1832.2999999999997</v>
      </c>
      <c r="BA127" s="9">
        <f t="shared" si="107"/>
        <v>5.362619047619047</v>
      </c>
    </row>
    <row r="128" spans="1:53" x14ac:dyDescent="0.25">
      <c r="A128" s="3" t="s">
        <v>137</v>
      </c>
      <c r="B128" s="4"/>
      <c r="C128" s="5">
        <f>965</f>
        <v>965</v>
      </c>
      <c r="D128" s="5">
        <f t="shared" si="81"/>
        <v>-965</v>
      </c>
      <c r="E128" s="9">
        <f t="shared" si="82"/>
        <v>0</v>
      </c>
      <c r="F128" s="4"/>
      <c r="G128" s="5">
        <f>965</f>
        <v>965</v>
      </c>
      <c r="H128" s="5">
        <f t="shared" si="83"/>
        <v>-965</v>
      </c>
      <c r="I128" s="9">
        <f t="shared" si="84"/>
        <v>0</v>
      </c>
      <c r="J128" s="4"/>
      <c r="K128" s="5">
        <f>965</f>
        <v>965</v>
      </c>
      <c r="L128" s="5">
        <f t="shared" si="85"/>
        <v>-965</v>
      </c>
      <c r="M128" s="9">
        <f t="shared" si="86"/>
        <v>0</v>
      </c>
      <c r="N128" s="4"/>
      <c r="O128" s="5">
        <f>965</f>
        <v>965</v>
      </c>
      <c r="P128" s="5">
        <f t="shared" si="87"/>
        <v>-965</v>
      </c>
      <c r="Q128" s="9">
        <f t="shared" si="88"/>
        <v>0</v>
      </c>
      <c r="R128" s="4"/>
      <c r="S128" s="5">
        <f>965</f>
        <v>965</v>
      </c>
      <c r="T128" s="5">
        <f t="shared" si="89"/>
        <v>-965</v>
      </c>
      <c r="U128" s="9">
        <f t="shared" si="90"/>
        <v>0</v>
      </c>
      <c r="V128" s="4"/>
      <c r="W128" s="5">
        <f>965</f>
        <v>965</v>
      </c>
      <c r="X128" s="5">
        <f t="shared" si="91"/>
        <v>-965</v>
      </c>
      <c r="Y128" s="9">
        <f t="shared" si="92"/>
        <v>0</v>
      </c>
      <c r="Z128" s="4"/>
      <c r="AA128" s="5">
        <f>965</f>
        <v>965</v>
      </c>
      <c r="AB128" s="5">
        <f t="shared" si="93"/>
        <v>-965</v>
      </c>
      <c r="AC128" s="9">
        <f t="shared" si="94"/>
        <v>0</v>
      </c>
      <c r="AD128" s="4"/>
      <c r="AE128" s="5">
        <f>965</f>
        <v>965</v>
      </c>
      <c r="AF128" s="5">
        <f t="shared" si="95"/>
        <v>-965</v>
      </c>
      <c r="AG128" s="9">
        <f t="shared" si="96"/>
        <v>0</v>
      </c>
      <c r="AH128" s="4"/>
      <c r="AI128" s="5">
        <f>965</f>
        <v>965</v>
      </c>
      <c r="AJ128" s="5">
        <f t="shared" si="97"/>
        <v>-965</v>
      </c>
      <c r="AK128" s="9">
        <f t="shared" si="98"/>
        <v>0</v>
      </c>
      <c r="AL128" s="107"/>
      <c r="AM128" s="108">
        <f>965</f>
        <v>965</v>
      </c>
      <c r="AN128" s="108">
        <f t="shared" si="99"/>
        <v>-965</v>
      </c>
      <c r="AO128" s="109">
        <f t="shared" si="100"/>
        <v>0</v>
      </c>
      <c r="AP128" s="4"/>
      <c r="AQ128" s="5">
        <f>965</f>
        <v>965</v>
      </c>
      <c r="AR128" s="5">
        <f t="shared" si="101"/>
        <v>-965</v>
      </c>
      <c r="AS128" s="9">
        <f t="shared" si="102"/>
        <v>0</v>
      </c>
      <c r="AT128" s="4"/>
      <c r="AU128" s="5">
        <f>965</f>
        <v>965</v>
      </c>
      <c r="AV128" s="5">
        <f t="shared" si="103"/>
        <v>-965</v>
      </c>
      <c r="AW128" s="9">
        <f t="shared" si="104"/>
        <v>0</v>
      </c>
      <c r="AX128" s="5">
        <f t="shared" si="105"/>
        <v>0</v>
      </c>
      <c r="AY128" s="5">
        <v>11580</v>
      </c>
      <c r="AZ128" s="5">
        <f t="shared" si="106"/>
        <v>-11580</v>
      </c>
      <c r="BA128" s="9">
        <f t="shared" si="107"/>
        <v>0</v>
      </c>
    </row>
    <row r="129" spans="1:53" x14ac:dyDescent="0.25">
      <c r="A129" s="3" t="s">
        <v>136</v>
      </c>
      <c r="B129" s="7">
        <f>(((((B123)+(B124))+(B125))+(B126))+(B127))+(B128)</f>
        <v>2548.52</v>
      </c>
      <c r="C129" s="7">
        <f>(((((C123)+(C124))+(C125))+(C126))+(C127))+(C128)</f>
        <v>1000</v>
      </c>
      <c r="D129" s="7">
        <f t="shared" si="81"/>
        <v>1548.52</v>
      </c>
      <c r="E129" s="8">
        <f t="shared" si="82"/>
        <v>2.5485199999999999</v>
      </c>
      <c r="F129" s="7">
        <f>(((((F123)+(F124))+(F125))+(F126))+(F127))+(F128)</f>
        <v>2417.94</v>
      </c>
      <c r="G129" s="7">
        <f>(((((G123)+(G124))+(G125))+(G126))+(G127))+(G128)</f>
        <v>1000</v>
      </c>
      <c r="H129" s="7">
        <f t="shared" si="83"/>
        <v>1417.94</v>
      </c>
      <c r="I129" s="8">
        <f t="shared" si="84"/>
        <v>2.4179400000000002</v>
      </c>
      <c r="J129" s="7">
        <f>(((((J123)+(J124))+(J125))+(J126))+(J127))+(J128)</f>
        <v>2046.32</v>
      </c>
      <c r="K129" s="7">
        <f>(((((K123)+(K124))+(K125))+(K126))+(K127))+(K128)</f>
        <v>1000</v>
      </c>
      <c r="L129" s="7">
        <f t="shared" si="85"/>
        <v>1046.32</v>
      </c>
      <c r="M129" s="8">
        <f t="shared" si="86"/>
        <v>2.0463200000000001</v>
      </c>
      <c r="N129" s="7">
        <f>(((((N123)+(N124))+(N125))+(N126))+(N127))+(N128)</f>
        <v>1584.1399999999999</v>
      </c>
      <c r="O129" s="7">
        <f>(((((O123)+(O124))+(O125))+(O126))+(O127))+(O128)</f>
        <v>1000</v>
      </c>
      <c r="P129" s="7">
        <f t="shared" si="87"/>
        <v>584.13999999999987</v>
      </c>
      <c r="Q129" s="8">
        <f t="shared" si="88"/>
        <v>1.5841399999999999</v>
      </c>
      <c r="R129" s="7">
        <f>(((((R123)+(R124))+(R125))+(R126))+(R127))+(R128)</f>
        <v>2535.4</v>
      </c>
      <c r="S129" s="7">
        <f>(((((S123)+(S124))+(S125))+(S126))+(S127))+(S128)</f>
        <v>1000</v>
      </c>
      <c r="T129" s="7">
        <f t="shared" si="89"/>
        <v>1535.4</v>
      </c>
      <c r="U129" s="8">
        <f t="shared" si="90"/>
        <v>2.5354000000000001</v>
      </c>
      <c r="V129" s="7">
        <f>(((((V123)+(V124))+(V125))+(V126))+(V127))+(V128)</f>
        <v>1929.4399999999998</v>
      </c>
      <c r="W129" s="7">
        <f>(((((W123)+(W124))+(W125))+(W126))+(W127))+(W128)</f>
        <v>1000</v>
      </c>
      <c r="X129" s="7">
        <f t="shared" si="91"/>
        <v>929.43999999999983</v>
      </c>
      <c r="Y129" s="8">
        <f t="shared" si="92"/>
        <v>1.9294399999999998</v>
      </c>
      <c r="Z129" s="7">
        <f>(((((Z123)+(Z124))+(Z125))+(Z126))+(Z127))+(Z128)</f>
        <v>1752.72</v>
      </c>
      <c r="AA129" s="7">
        <f>(((((AA123)+(AA124))+(AA125))+(AA126))+(AA127))+(AA128)</f>
        <v>1000</v>
      </c>
      <c r="AB129" s="7">
        <f t="shared" si="93"/>
        <v>752.72</v>
      </c>
      <c r="AC129" s="8">
        <f t="shared" si="94"/>
        <v>1.7527200000000001</v>
      </c>
      <c r="AD129" s="7">
        <f>(((((AD123)+(AD124))+(AD125))+(AD126))+(AD127))+(AD128)</f>
        <v>503.11</v>
      </c>
      <c r="AE129" s="7">
        <f>(((((AE123)+(AE124))+(AE125))+(AE126))+(AE127))+(AE128)</f>
        <v>1000</v>
      </c>
      <c r="AF129" s="7">
        <f t="shared" si="95"/>
        <v>-496.89</v>
      </c>
      <c r="AG129" s="8">
        <f t="shared" si="96"/>
        <v>0.50311000000000006</v>
      </c>
      <c r="AH129" s="7">
        <f>(((((AH123)+(AH124))+(AH125))+(AH126))+(AH127))+(AH128)</f>
        <v>3001.89</v>
      </c>
      <c r="AI129" s="7">
        <f>(((((AI123)+(AI124))+(AI125))+(AI126))+(AI127))+(AI128)</f>
        <v>1000</v>
      </c>
      <c r="AJ129" s="7">
        <f t="shared" si="97"/>
        <v>2001.8899999999999</v>
      </c>
      <c r="AK129" s="8">
        <f t="shared" si="98"/>
        <v>3.0018899999999999</v>
      </c>
      <c r="AL129" s="110">
        <f>(((((AL123)+(AL124))+(AL125))+(AL126))+(AL127))+(AL128)</f>
        <v>7239.59</v>
      </c>
      <c r="AM129" s="110">
        <f>(((((AM123)+(AM124))+(AM125))+(AM126))+(AM127))+(AM128)</f>
        <v>1000</v>
      </c>
      <c r="AN129" s="110">
        <f t="shared" si="99"/>
        <v>6239.59</v>
      </c>
      <c r="AO129" s="111">
        <f t="shared" si="100"/>
        <v>7.2395899999999997</v>
      </c>
      <c r="AP129" s="7">
        <f>(((((AP123)+(AP124))+(AP125))+(AP126))+(AP127))+(AP128)</f>
        <v>3157.4300000000003</v>
      </c>
      <c r="AQ129" s="7">
        <f>(((((AQ123)+(AQ124))+(AQ125))+(AQ126))+(AQ127))+(AQ128)</f>
        <v>1000</v>
      </c>
      <c r="AR129" s="7">
        <f t="shared" si="101"/>
        <v>2157.4300000000003</v>
      </c>
      <c r="AS129" s="8">
        <f t="shared" si="102"/>
        <v>3.1574300000000002</v>
      </c>
      <c r="AT129" s="7">
        <f>(((((AT123)+(AT124))+(AT125))+(AT126))+(AT127))+(AT128)</f>
        <v>313.5</v>
      </c>
      <c r="AU129" s="7">
        <f>(((((AU123)+(AU124))+(AU125))+(AU126))+(AU127))+(AU128)</f>
        <v>1000</v>
      </c>
      <c r="AV129" s="7">
        <f t="shared" si="103"/>
        <v>-686.5</v>
      </c>
      <c r="AW129" s="8">
        <f t="shared" si="104"/>
        <v>0.3135</v>
      </c>
      <c r="AX129" s="7">
        <f t="shared" si="105"/>
        <v>29030</v>
      </c>
      <c r="AY129" s="7">
        <v>12000</v>
      </c>
      <c r="AZ129" s="7">
        <f t="shared" si="106"/>
        <v>17030</v>
      </c>
      <c r="BA129" s="8">
        <f t="shared" si="107"/>
        <v>2.4191666666666665</v>
      </c>
    </row>
    <row r="130" spans="1:53" x14ac:dyDescent="0.25">
      <c r="A130" s="3" t="s">
        <v>135</v>
      </c>
      <c r="B130" s="7">
        <f>((((((((((((((((((((B91)+(B92))+(B93))+(B94))+(B95))+(B96))+(B97))+(B98))+(B99))+(B100))+(B101))+(B106))+(B107))+(B113))+(B117))+(B118))+(B119))+(B120))+(B121))+(B122))+(B129)</f>
        <v>64493.819999999992</v>
      </c>
      <c r="C130" s="7">
        <f>((((((((((((((((((((C91)+(C92))+(C93))+(C94))+(C95))+(C96))+(C97))+(C98))+(C99))+(C100))+(C101))+(C106))+(C107))+(C113))+(C117))+(C118))+(C119))+(C120))+(C121))+(C122))+(C129)</f>
        <v>48682.39</v>
      </c>
      <c r="D130" s="7">
        <f t="shared" si="81"/>
        <v>15811.429999999993</v>
      </c>
      <c r="E130" s="8">
        <f t="shared" si="82"/>
        <v>1.3247874642144726</v>
      </c>
      <c r="F130" s="7">
        <f>((((((((((((((((((((F91)+(F92))+(F93))+(F94))+(F95))+(F96))+(F97))+(F98))+(F99))+(F100))+(F101))+(F106))+(F107))+(F113))+(F117))+(F118))+(F119))+(F120))+(F121))+(F122))+(F129)</f>
        <v>51306.810000000005</v>
      </c>
      <c r="G130" s="7">
        <f>((((((((((((((((((((G91)+(G92))+(G93))+(G94))+(G95))+(G96))+(G97))+(G98))+(G99))+(G100))+(G101))+(G106))+(G107))+(G113))+(G117))+(G118))+(G119))+(G120))+(G121))+(G122))+(G129)</f>
        <v>48682.39</v>
      </c>
      <c r="H130" s="7">
        <f t="shared" si="83"/>
        <v>2624.4200000000055</v>
      </c>
      <c r="I130" s="8">
        <f t="shared" si="84"/>
        <v>1.0539090213114024</v>
      </c>
      <c r="J130" s="7">
        <f>((((((((((((((((((((J91)+(J92))+(J93))+(J94))+(J95))+(J96))+(J97))+(J98))+(J99))+(J100))+(J101))+(J106))+(J107))+(J113))+(J117))+(J118))+(J119))+(J120))+(J121))+(J122))+(J129)</f>
        <v>47761.750000000007</v>
      </c>
      <c r="K130" s="7">
        <f>((((((((((((((((((((K91)+(K92))+(K93))+(K94))+(K95))+(K96))+(K97))+(K98))+(K99))+(K100))+(K101))+(K106))+(K107))+(K113))+(K117))+(K118))+(K119))+(K120))+(K121))+(K122))+(K129)</f>
        <v>48682.39</v>
      </c>
      <c r="L130" s="7">
        <f t="shared" si="85"/>
        <v>-920.63999999999214</v>
      </c>
      <c r="M130" s="8">
        <f t="shared" si="86"/>
        <v>0.98108884958195375</v>
      </c>
      <c r="N130" s="7">
        <f>((((((((((((((((((((N91)+(N92))+(N93))+(N94))+(N95))+(N96))+(N97))+(N98))+(N99))+(N100))+(N101))+(N106))+(N107))+(N113))+(N117))+(N118))+(N119))+(N120))+(N121))+(N122))+(N129)</f>
        <v>35440.129999999997</v>
      </c>
      <c r="O130" s="7">
        <f>((((((((((((((((((((O91)+(O92))+(O93))+(O94))+(O95))+(O96))+(O97))+(O98))+(O99))+(O100))+(O101))+(O106))+(O107))+(O113))+(O117))+(O118))+(O119))+(O120))+(O121))+(O122))+(O129)</f>
        <v>48682.39</v>
      </c>
      <c r="P130" s="7">
        <f t="shared" si="87"/>
        <v>-13242.260000000002</v>
      </c>
      <c r="Q130" s="8">
        <f t="shared" si="88"/>
        <v>0.72798664979266625</v>
      </c>
      <c r="R130" s="7">
        <f>((((((((((((((((((((R91)+(R92))+(R93))+(R94))+(R95))+(R96))+(R97))+(R98))+(R99))+(R100))+(R101))+(R106))+(R107))+(R113))+(R117))+(R118))+(R119))+(R120))+(R121))+(R122))+(R129)</f>
        <v>31654.03</v>
      </c>
      <c r="S130" s="7">
        <f>((((((((((((((((((((S91)+(S92))+(S93))+(S94))+(S95))+(S96))+(S97))+(S98))+(S99))+(S100))+(S101))+(S106))+(S107))+(S113))+(S117))+(S118))+(S119))+(S120))+(S121))+(S122))+(S129)</f>
        <v>48682.39</v>
      </c>
      <c r="T130" s="7">
        <f t="shared" si="89"/>
        <v>-17028.36</v>
      </c>
      <c r="U130" s="8">
        <f t="shared" si="90"/>
        <v>0.65021520102032782</v>
      </c>
      <c r="V130" s="7">
        <f>((((((((((((((((((((V91)+(V92))+(V93))+(V94))+(V95))+(V96))+(V97))+(V98))+(V99))+(V100))+(V101))+(V106))+(V107))+(V113))+(V117))+(V118))+(V119))+(V120))+(V121))+(V122))+(V129)</f>
        <v>44956.409999999996</v>
      </c>
      <c r="W130" s="7">
        <f>((((((((((((((((((((W91)+(W92))+(W93))+(W94))+(W95))+(W96))+(W97))+(W98))+(W99))+(W100))+(W101))+(W106))+(W107))+(W113))+(W117))+(W118))+(W119))+(W120))+(W121))+(W122))+(W129)</f>
        <v>48682.39</v>
      </c>
      <c r="X130" s="7">
        <f t="shared" si="91"/>
        <v>-3725.9800000000032</v>
      </c>
      <c r="Y130" s="8">
        <f t="shared" si="92"/>
        <v>0.92346349470516953</v>
      </c>
      <c r="Z130" s="7">
        <f>((((((((((((((((((((Z91)+(Z92))+(Z93))+(Z94))+(Z95))+(Z96))+(Z97))+(Z98))+(Z99))+(Z100))+(Z101))+(Z106))+(Z107))+(Z113))+(Z117))+(Z118))+(Z119))+(Z120))+(Z121))+(Z122))+(Z129)</f>
        <v>48779.12</v>
      </c>
      <c r="AA130" s="7">
        <f>((((((((((((((((((((AA91)+(AA92))+(AA93))+(AA94))+(AA95))+(AA96))+(AA97))+(AA98))+(AA99))+(AA100))+(AA101))+(AA106))+(AA107))+(AA113))+(AA117))+(AA118))+(AA119))+(AA120))+(AA121))+(AA122))+(AA129)</f>
        <v>48765.72</v>
      </c>
      <c r="AB130" s="7">
        <f t="shared" si="93"/>
        <v>13.400000000001455</v>
      </c>
      <c r="AC130" s="8">
        <f t="shared" si="94"/>
        <v>1.0002747831878622</v>
      </c>
      <c r="AD130" s="7">
        <f>((((((((((((((((((((AD91)+(AD92))+(AD93))+(AD94))+(AD95))+(AD96))+(AD97))+(AD98))+(AD99))+(AD100))+(AD101))+(AD106))+(AD107))+(AD113))+(AD117))+(AD118))+(AD119))+(AD120))+(AD121))+(AD122))+(AD129)</f>
        <v>51135.640000000007</v>
      </c>
      <c r="AE130" s="7">
        <f>((((((((((((((((((((AE91)+(AE92))+(AE93))+(AE94))+(AE95))+(AE96))+(AE97))+(AE98))+(AE99))+(AE100))+(AE101))+(AE106))+(AE107))+(AE113))+(AE117))+(AE118))+(AE119))+(AE120))+(AE121))+(AE122))+(AE129)</f>
        <v>53324.72</v>
      </c>
      <c r="AF130" s="7">
        <f t="shared" si="95"/>
        <v>-2189.0799999999945</v>
      </c>
      <c r="AG130" s="8">
        <f t="shared" si="96"/>
        <v>0.95894812012139974</v>
      </c>
      <c r="AH130" s="7">
        <f>((((((((((((((((((((AH91)+(AH92))+(AH93))+(AH94))+(AH95))+(AH96))+(AH97))+(AH98))+(AH99))+(AH100))+(AH101))+(AH106))+(AH107))+(AH113))+(AH117))+(AH118))+(AH119))+(AH120))+(AH121))+(AH122))+(AH129)</f>
        <v>92893.05</v>
      </c>
      <c r="AI130" s="7">
        <f>((((((((((((((((((((AI91)+(AI92))+(AI93))+(AI94))+(AI95))+(AI96))+(AI97))+(AI98))+(AI99))+(AI100))+(AI101))+(AI106))+(AI107))+(AI113))+(AI117))+(AI118))+(AI119))+(AI120))+(AI121))+(AI122))+(AI129)</f>
        <v>53324.74</v>
      </c>
      <c r="AJ130" s="7">
        <f t="shared" si="97"/>
        <v>39568.310000000005</v>
      </c>
      <c r="AK130" s="8">
        <f t="shared" si="98"/>
        <v>1.742025371337957</v>
      </c>
      <c r="AL130" s="110">
        <f>((((((((((((((((((((AL91)+(AL92))+(AL93))+(AL94))+(AL95))+(AL96))+(AL97))+(AL98))+(AL99))+(AL100))+(AL101))+(AL106))+(AL107))+(AL113))+(AL117))+(AL118))+(AL119))+(AL120))+(AL121))+(AL122))+(AL129)</f>
        <v>55200.479999999996</v>
      </c>
      <c r="AM130" s="110">
        <f>((((((((((((((((((((AM91)+(AM92))+(AM93))+(AM94))+(AM95))+(AM96))+(AM97))+(AM98))+(AM99))+(AM100))+(AM101))+(AM106))+(AM107))+(AM113))+(AM117))+(AM118))+(AM119))+(AM120))+(AM121))+(AM122))+(AM129)</f>
        <v>53324.72</v>
      </c>
      <c r="AN130" s="110">
        <f t="shared" si="99"/>
        <v>1875.7599999999948</v>
      </c>
      <c r="AO130" s="111">
        <f t="shared" si="100"/>
        <v>1.0351761809532238</v>
      </c>
      <c r="AP130" s="7">
        <f>((((((((((((((((((((AP91)+(AP92))+(AP93))+(AP94))+(AP95))+(AP96))+(AP97))+(AP98))+(AP99))+(AP100))+(AP101))+(AP106))+(AP107))+(AP113))+(AP117))+(AP118))+(AP119))+(AP120))+(AP121))+(AP122))+(AP129)</f>
        <v>38733.14</v>
      </c>
      <c r="AQ130" s="7">
        <f>((((((((((((((((((((AQ91)+(AQ92))+(AQ93))+(AQ94))+(AQ95))+(AQ96))+(AQ97))+(AQ98))+(AQ99))+(AQ100))+(AQ101))+(AQ106))+(AQ107))+(AQ113))+(AQ117))+(AQ118))+(AQ119))+(AQ120))+(AQ121))+(AQ122))+(AQ129)</f>
        <v>53324.600000000006</v>
      </c>
      <c r="AR130" s="7">
        <f t="shared" si="101"/>
        <v>-14591.460000000006</v>
      </c>
      <c r="AS130" s="8">
        <f t="shared" si="102"/>
        <v>0.72636531732071119</v>
      </c>
      <c r="AT130" s="7">
        <f>((((((((((((((((((((AT91)+(AT92))+(AT93))+(AT94))+(AT95))+(AT96))+(AT97))+(AT98))+(AT99))+(AT100))+(AT101))+(AT106))+(AT107))+(AT113))+(AT117))+(AT118))+(AT119))+(AT120))+(AT121))+(AT122))+(AT129)</f>
        <v>1223.47</v>
      </c>
      <c r="AU130" s="7">
        <f>((((((((((((((((((((AU91)+(AU92))+(AU93))+(AU94))+(AU95))+(AU96))+(AU97))+(AU98))+(AU99))+(AU100))+(AU101))+(AU106))+(AU107))+(AU113))+(AU117))+(AU118))+(AU119))+(AU120))+(AU121))+(AU122))+(AU129)</f>
        <v>53325.159999999996</v>
      </c>
      <c r="AV130" s="7">
        <f t="shared" si="103"/>
        <v>-52101.689999999995</v>
      </c>
      <c r="AW130" s="8">
        <f t="shared" si="104"/>
        <v>2.2943578603420976E-2</v>
      </c>
      <c r="AX130" s="7">
        <f t="shared" si="105"/>
        <v>563577.85</v>
      </c>
      <c r="AY130" s="7">
        <v>607484</v>
      </c>
      <c r="AZ130" s="7">
        <f t="shared" si="106"/>
        <v>-43906.150000000023</v>
      </c>
      <c r="BA130" s="8">
        <f t="shared" si="107"/>
        <v>0.9277245985079442</v>
      </c>
    </row>
    <row r="131" spans="1:53" x14ac:dyDescent="0.25">
      <c r="A131" s="3" t="s">
        <v>134</v>
      </c>
      <c r="B131" s="4"/>
      <c r="C131" s="4"/>
      <c r="D131" s="5">
        <f t="shared" si="81"/>
        <v>0</v>
      </c>
      <c r="E131" s="9" t="str">
        <f t="shared" si="82"/>
        <v/>
      </c>
      <c r="F131" s="4"/>
      <c r="G131" s="4"/>
      <c r="H131" s="5">
        <f t="shared" si="83"/>
        <v>0</v>
      </c>
      <c r="I131" s="9" t="str">
        <f t="shared" si="84"/>
        <v/>
      </c>
      <c r="J131" s="4"/>
      <c r="K131" s="4"/>
      <c r="L131" s="5">
        <f t="shared" si="85"/>
        <v>0</v>
      </c>
      <c r="M131" s="9" t="str">
        <f t="shared" si="86"/>
        <v/>
      </c>
      <c r="N131" s="4"/>
      <c r="O131" s="4"/>
      <c r="P131" s="5">
        <f t="shared" si="87"/>
        <v>0</v>
      </c>
      <c r="Q131" s="9" t="str">
        <f t="shared" si="88"/>
        <v/>
      </c>
      <c r="R131" s="4"/>
      <c r="S131" s="4"/>
      <c r="T131" s="5">
        <f t="shared" si="89"/>
        <v>0</v>
      </c>
      <c r="U131" s="9" t="str">
        <f t="shared" si="90"/>
        <v/>
      </c>
      <c r="V131" s="4"/>
      <c r="W131" s="4"/>
      <c r="X131" s="5">
        <f t="shared" si="91"/>
        <v>0</v>
      </c>
      <c r="Y131" s="9" t="str">
        <f t="shared" si="92"/>
        <v/>
      </c>
      <c r="Z131" s="4"/>
      <c r="AA131" s="4"/>
      <c r="AB131" s="5">
        <f t="shared" si="93"/>
        <v>0</v>
      </c>
      <c r="AC131" s="9" t="str">
        <f t="shared" si="94"/>
        <v/>
      </c>
      <c r="AD131" s="4"/>
      <c r="AE131" s="4"/>
      <c r="AF131" s="5">
        <f t="shared" si="95"/>
        <v>0</v>
      </c>
      <c r="AG131" s="9" t="str">
        <f t="shared" si="96"/>
        <v/>
      </c>
      <c r="AH131" s="4"/>
      <c r="AI131" s="4"/>
      <c r="AJ131" s="5">
        <f t="shared" si="97"/>
        <v>0</v>
      </c>
      <c r="AK131" s="9" t="str">
        <f t="shared" si="98"/>
        <v/>
      </c>
      <c r="AL131" s="107"/>
      <c r="AM131" s="107"/>
      <c r="AN131" s="108">
        <f t="shared" si="99"/>
        <v>0</v>
      </c>
      <c r="AO131" s="109" t="str">
        <f t="shared" si="100"/>
        <v/>
      </c>
      <c r="AP131" s="4"/>
      <c r="AQ131" s="4"/>
      <c r="AR131" s="5">
        <f t="shared" si="101"/>
        <v>0</v>
      </c>
      <c r="AS131" s="9" t="str">
        <f t="shared" si="102"/>
        <v/>
      </c>
      <c r="AT131" s="4"/>
      <c r="AU131" s="4"/>
      <c r="AV131" s="5">
        <f t="shared" si="103"/>
        <v>0</v>
      </c>
      <c r="AW131" s="9" t="str">
        <f t="shared" si="104"/>
        <v/>
      </c>
      <c r="AX131" s="5">
        <f t="shared" si="105"/>
        <v>0</v>
      </c>
      <c r="AY131" s="5">
        <v>0</v>
      </c>
      <c r="AZ131" s="5">
        <f t="shared" si="106"/>
        <v>0</v>
      </c>
      <c r="BA131" s="9" t="str">
        <f t="shared" si="107"/>
        <v/>
      </c>
    </row>
    <row r="132" spans="1:53" x14ac:dyDescent="0.25">
      <c r="A132" s="3" t="s">
        <v>133</v>
      </c>
      <c r="B132" s="5">
        <f>5702.34</f>
        <v>5702.34</v>
      </c>
      <c r="C132" s="5">
        <f>14821.33</f>
        <v>14821.33</v>
      </c>
      <c r="D132" s="5">
        <f t="shared" ref="D132:D163" si="108">(B132)-(C132)</f>
        <v>-9118.99</v>
      </c>
      <c r="E132" s="9">
        <f t="shared" ref="E132:E163" si="109">IF(C132=0,"",(B132)/(C132))</f>
        <v>0.38473875151555226</v>
      </c>
      <c r="F132" s="5">
        <f>11404.68</f>
        <v>11404.68</v>
      </c>
      <c r="G132" s="5">
        <f>14821.33</f>
        <v>14821.33</v>
      </c>
      <c r="H132" s="5">
        <f t="shared" ref="H132:H163" si="110">(F132)-(G132)</f>
        <v>-3416.6499999999996</v>
      </c>
      <c r="I132" s="9">
        <f t="shared" ref="I132:I163" si="111">IF(G132=0,"",(F132)/(G132))</f>
        <v>0.76947750303110451</v>
      </c>
      <c r="J132" s="5">
        <f>11404.68</f>
        <v>11404.68</v>
      </c>
      <c r="K132" s="5">
        <f>14821.33</f>
        <v>14821.33</v>
      </c>
      <c r="L132" s="5">
        <f t="shared" ref="L132:L163" si="112">(J132)-(K132)</f>
        <v>-3416.6499999999996</v>
      </c>
      <c r="M132" s="9">
        <f t="shared" ref="M132:M163" si="113">IF(K132=0,"",(J132)/(K132))</f>
        <v>0.76947750303110451</v>
      </c>
      <c r="N132" s="5">
        <f>11404.68</f>
        <v>11404.68</v>
      </c>
      <c r="O132" s="5">
        <f>14821.33</f>
        <v>14821.33</v>
      </c>
      <c r="P132" s="5">
        <f t="shared" ref="P132:P163" si="114">(N132)-(O132)</f>
        <v>-3416.6499999999996</v>
      </c>
      <c r="Q132" s="9">
        <f t="shared" ref="Q132:Q163" si="115">IF(O132=0,"",(N132)/(O132))</f>
        <v>0.76947750303110451</v>
      </c>
      <c r="R132" s="5">
        <f>11404.68</f>
        <v>11404.68</v>
      </c>
      <c r="S132" s="5">
        <f>14821.33</f>
        <v>14821.33</v>
      </c>
      <c r="T132" s="5">
        <f t="shared" ref="T132:T163" si="116">(R132)-(S132)</f>
        <v>-3416.6499999999996</v>
      </c>
      <c r="U132" s="9">
        <f t="shared" ref="U132:U163" si="117">IF(S132=0,"",(R132)/(S132))</f>
        <v>0.76947750303110451</v>
      </c>
      <c r="V132" s="5">
        <f>11904.68</f>
        <v>11904.68</v>
      </c>
      <c r="W132" s="5">
        <f>14821.33</f>
        <v>14821.33</v>
      </c>
      <c r="X132" s="5">
        <f t="shared" ref="X132:X163" si="118">(V132)-(W132)</f>
        <v>-2916.6499999999996</v>
      </c>
      <c r="Y132" s="9">
        <f t="shared" ref="Y132:Y163" si="119">IF(W132=0,"",(V132)/(W132))</f>
        <v>0.80321266714930439</v>
      </c>
      <c r="Z132" s="5">
        <f>12663.84</f>
        <v>12663.84</v>
      </c>
      <c r="AA132" s="5">
        <f>14821.33</f>
        <v>14821.33</v>
      </c>
      <c r="AB132" s="5">
        <f t="shared" ref="AB132:AB163" si="120">(Z132)-(AA132)</f>
        <v>-2157.4899999999998</v>
      </c>
      <c r="AC132" s="9">
        <f t="shared" ref="AC132:AC163" si="121">IF(AA132=0,"",(Z132)/(AA132))</f>
        <v>0.85443344153324974</v>
      </c>
      <c r="AD132" s="5">
        <f>11893.56</f>
        <v>11893.56</v>
      </c>
      <c r="AE132" s="5">
        <f>14821.33</f>
        <v>14821.33</v>
      </c>
      <c r="AF132" s="5">
        <f t="shared" ref="AF132:AF163" si="122">(AD132)-(AE132)</f>
        <v>-2927.7700000000004</v>
      </c>
      <c r="AG132" s="9">
        <f t="shared" ref="AG132:AG163" si="123">IF(AE132=0,"",(AD132)/(AE132))</f>
        <v>0.80246239709931566</v>
      </c>
      <c r="AH132" s="5">
        <f>12908.27</f>
        <v>12908.27</v>
      </c>
      <c r="AI132" s="5">
        <f>14821.33</f>
        <v>14821.33</v>
      </c>
      <c r="AJ132" s="5">
        <f t="shared" ref="AJ132:AJ163" si="124">(AH132)-(AI132)</f>
        <v>-1913.0599999999995</v>
      </c>
      <c r="AK132" s="9">
        <f t="shared" ref="AK132:AK163" si="125">IF(AI132=0,"",(AH132)/(AI132))</f>
        <v>0.87092521386407296</v>
      </c>
      <c r="AL132" s="108">
        <f>11893.56</f>
        <v>11893.56</v>
      </c>
      <c r="AM132" s="108">
        <f>14821.33</f>
        <v>14821.33</v>
      </c>
      <c r="AN132" s="108">
        <f t="shared" ref="AN132:AN163" si="126">(AL132)-(AM132)</f>
        <v>-2927.7700000000004</v>
      </c>
      <c r="AO132" s="109">
        <f t="shared" ref="AO132:AO163" si="127">IF(AM132=0,"",(AL132)/(AM132))</f>
        <v>0.80246239709931566</v>
      </c>
      <c r="AP132" s="4"/>
      <c r="AQ132" s="5">
        <f>14821.33</f>
        <v>14821.33</v>
      </c>
      <c r="AR132" s="5">
        <f t="shared" ref="AR132:AR163" si="128">(AP132)-(AQ132)</f>
        <v>-14821.33</v>
      </c>
      <c r="AS132" s="9">
        <f t="shared" ref="AS132:AS163" si="129">IF(AQ132=0,"",(AP132)/(AQ132))</f>
        <v>0</v>
      </c>
      <c r="AT132" s="4"/>
      <c r="AU132" s="5">
        <f>14821.37</f>
        <v>14821.37</v>
      </c>
      <c r="AV132" s="5">
        <f t="shared" ref="AV132:AV163" si="130">(AT132)-(AU132)</f>
        <v>-14821.37</v>
      </c>
      <c r="AW132" s="9">
        <f t="shared" ref="AW132:AW163" si="131">IF(AU132=0,"",(AT132)/(AU132))</f>
        <v>0</v>
      </c>
      <c r="AX132" s="5">
        <f t="shared" ref="AX132:AX163" si="132">(((((((((((B132)+(F132))+(J132))+(N132))+(R132))+(V132))+(Z132))+(AD132))+(AH132))+(AL132))+(AP132))+(AT132)</f>
        <v>112584.97</v>
      </c>
      <c r="AY132" s="5">
        <v>177855.99999999997</v>
      </c>
      <c r="AZ132" s="5">
        <f t="shared" ref="AZ132:AZ163" si="133">(AX132)-(AY132)</f>
        <v>-65271.02999999997</v>
      </c>
      <c r="BA132" s="9">
        <f t="shared" ref="BA132:BA163" si="134">IF(AY132=0,"",(AX132)/(AY132))</f>
        <v>0.63301193100035991</v>
      </c>
    </row>
    <row r="133" spans="1:53" x14ac:dyDescent="0.25">
      <c r="A133" s="3" t="s">
        <v>132</v>
      </c>
      <c r="B133" s="4"/>
      <c r="C133" s="4"/>
      <c r="D133" s="5">
        <f t="shared" si="108"/>
        <v>0</v>
      </c>
      <c r="E133" s="9" t="str">
        <f t="shared" si="109"/>
        <v/>
      </c>
      <c r="F133" s="4"/>
      <c r="G133" s="4"/>
      <c r="H133" s="5">
        <f t="shared" si="110"/>
        <v>0</v>
      </c>
      <c r="I133" s="9" t="str">
        <f t="shared" si="111"/>
        <v/>
      </c>
      <c r="J133" s="4"/>
      <c r="K133" s="4"/>
      <c r="L133" s="5">
        <f t="shared" si="112"/>
        <v>0</v>
      </c>
      <c r="M133" s="9" t="str">
        <f t="shared" si="113"/>
        <v/>
      </c>
      <c r="N133" s="4"/>
      <c r="O133" s="4"/>
      <c r="P133" s="5">
        <f t="shared" si="114"/>
        <v>0</v>
      </c>
      <c r="Q133" s="9" t="str">
        <f t="shared" si="115"/>
        <v/>
      </c>
      <c r="R133" s="4"/>
      <c r="S133" s="4"/>
      <c r="T133" s="5">
        <f t="shared" si="116"/>
        <v>0</v>
      </c>
      <c r="U133" s="9" t="str">
        <f t="shared" si="117"/>
        <v/>
      </c>
      <c r="V133" s="4"/>
      <c r="W133" s="4"/>
      <c r="X133" s="5">
        <f t="shared" si="118"/>
        <v>0</v>
      </c>
      <c r="Y133" s="9" t="str">
        <f t="shared" si="119"/>
        <v/>
      </c>
      <c r="Z133" s="4"/>
      <c r="AA133" s="4"/>
      <c r="AB133" s="5">
        <f t="shared" si="120"/>
        <v>0</v>
      </c>
      <c r="AC133" s="9" t="str">
        <f t="shared" si="121"/>
        <v/>
      </c>
      <c r="AD133" s="4"/>
      <c r="AE133" s="4"/>
      <c r="AF133" s="5">
        <f t="shared" si="122"/>
        <v>0</v>
      </c>
      <c r="AG133" s="9" t="str">
        <f t="shared" si="123"/>
        <v/>
      </c>
      <c r="AH133" s="4"/>
      <c r="AI133" s="4"/>
      <c r="AJ133" s="5">
        <f t="shared" si="124"/>
        <v>0</v>
      </c>
      <c r="AK133" s="9" t="str">
        <f t="shared" si="125"/>
        <v/>
      </c>
      <c r="AL133" s="108">
        <f>-713.6</f>
        <v>-713.6</v>
      </c>
      <c r="AM133" s="107"/>
      <c r="AN133" s="108">
        <f t="shared" si="126"/>
        <v>-713.6</v>
      </c>
      <c r="AO133" s="109" t="str">
        <f t="shared" si="127"/>
        <v/>
      </c>
      <c r="AP133" s="4"/>
      <c r="AQ133" s="4"/>
      <c r="AR133" s="5">
        <f t="shared" si="128"/>
        <v>0</v>
      </c>
      <c r="AS133" s="9" t="str">
        <f t="shared" si="129"/>
        <v/>
      </c>
      <c r="AT133" s="4"/>
      <c r="AU133" s="4"/>
      <c r="AV133" s="5">
        <f t="shared" si="130"/>
        <v>0</v>
      </c>
      <c r="AW133" s="9" t="str">
        <f t="shared" si="131"/>
        <v/>
      </c>
      <c r="AX133" s="5">
        <f t="shared" si="132"/>
        <v>-713.6</v>
      </c>
      <c r="AY133" s="5">
        <v>0</v>
      </c>
      <c r="AZ133" s="5">
        <f t="shared" si="133"/>
        <v>-713.6</v>
      </c>
      <c r="BA133" s="9" t="str">
        <f t="shared" si="134"/>
        <v/>
      </c>
    </row>
    <row r="134" spans="1:53" x14ac:dyDescent="0.25">
      <c r="A134" s="3" t="s">
        <v>131</v>
      </c>
      <c r="B134" s="4"/>
      <c r="C134" s="5">
        <f>0</f>
        <v>0</v>
      </c>
      <c r="D134" s="5">
        <f t="shared" si="108"/>
        <v>0</v>
      </c>
      <c r="E134" s="9" t="str">
        <f t="shared" si="109"/>
        <v/>
      </c>
      <c r="F134" s="4"/>
      <c r="G134" s="5">
        <f>0</f>
        <v>0</v>
      </c>
      <c r="H134" s="5">
        <f t="shared" si="110"/>
        <v>0</v>
      </c>
      <c r="I134" s="9" t="str">
        <f t="shared" si="111"/>
        <v/>
      </c>
      <c r="J134" s="5">
        <f>1700</f>
        <v>1700</v>
      </c>
      <c r="K134" s="5">
        <f>0</f>
        <v>0</v>
      </c>
      <c r="L134" s="5">
        <f t="shared" si="112"/>
        <v>1700</v>
      </c>
      <c r="M134" s="9" t="str">
        <f t="shared" si="113"/>
        <v/>
      </c>
      <c r="N134" s="5">
        <f>5000</f>
        <v>5000</v>
      </c>
      <c r="O134" s="5">
        <f>0</f>
        <v>0</v>
      </c>
      <c r="P134" s="5">
        <f t="shared" si="114"/>
        <v>5000</v>
      </c>
      <c r="Q134" s="9" t="str">
        <f t="shared" si="115"/>
        <v/>
      </c>
      <c r="R134" s="4"/>
      <c r="S134" s="5">
        <f>0</f>
        <v>0</v>
      </c>
      <c r="T134" s="5">
        <f t="shared" si="116"/>
        <v>0</v>
      </c>
      <c r="U134" s="9" t="str">
        <f t="shared" si="117"/>
        <v/>
      </c>
      <c r="V134" s="5">
        <f>3187.5</f>
        <v>3187.5</v>
      </c>
      <c r="W134" s="5">
        <f>0</f>
        <v>0</v>
      </c>
      <c r="X134" s="5">
        <f t="shared" si="118"/>
        <v>3187.5</v>
      </c>
      <c r="Y134" s="9" t="str">
        <f t="shared" si="119"/>
        <v/>
      </c>
      <c r="Z134" s="5">
        <f>1829.38</f>
        <v>1829.38</v>
      </c>
      <c r="AA134" s="5">
        <f>0</f>
        <v>0</v>
      </c>
      <c r="AB134" s="5">
        <f t="shared" si="120"/>
        <v>1829.38</v>
      </c>
      <c r="AC134" s="9" t="str">
        <f t="shared" si="121"/>
        <v/>
      </c>
      <c r="AD134" s="4"/>
      <c r="AE134" s="5">
        <f>556</f>
        <v>556</v>
      </c>
      <c r="AF134" s="5">
        <f t="shared" si="122"/>
        <v>-556</v>
      </c>
      <c r="AG134" s="9">
        <f t="shared" si="123"/>
        <v>0</v>
      </c>
      <c r="AH134" s="4"/>
      <c r="AI134" s="5">
        <f>556</f>
        <v>556</v>
      </c>
      <c r="AJ134" s="5">
        <f t="shared" si="124"/>
        <v>-556</v>
      </c>
      <c r="AK134" s="9">
        <f t="shared" si="125"/>
        <v>0</v>
      </c>
      <c r="AL134" s="108">
        <f>180</f>
        <v>180</v>
      </c>
      <c r="AM134" s="108">
        <f>556</f>
        <v>556</v>
      </c>
      <c r="AN134" s="108">
        <f t="shared" si="126"/>
        <v>-376</v>
      </c>
      <c r="AO134" s="109">
        <f t="shared" si="127"/>
        <v>0.32374100719424459</v>
      </c>
      <c r="AP134" s="5">
        <f>3625</f>
        <v>3625</v>
      </c>
      <c r="AQ134" s="5">
        <f>556</f>
        <v>556</v>
      </c>
      <c r="AR134" s="5">
        <f t="shared" si="128"/>
        <v>3069</v>
      </c>
      <c r="AS134" s="9">
        <f t="shared" si="129"/>
        <v>6.5197841726618702</v>
      </c>
      <c r="AT134" s="4"/>
      <c r="AU134" s="5">
        <f>556</f>
        <v>556</v>
      </c>
      <c r="AV134" s="5">
        <f t="shared" si="130"/>
        <v>-556</v>
      </c>
      <c r="AW134" s="9">
        <f t="shared" si="131"/>
        <v>0</v>
      </c>
      <c r="AX134" s="5">
        <f t="shared" si="132"/>
        <v>15521.880000000001</v>
      </c>
      <c r="AY134" s="5">
        <v>2780</v>
      </c>
      <c r="AZ134" s="5">
        <f t="shared" si="133"/>
        <v>12741.880000000001</v>
      </c>
      <c r="BA134" s="9">
        <f t="shared" si="134"/>
        <v>5.5834100719424464</v>
      </c>
    </row>
    <row r="135" spans="1:53" x14ac:dyDescent="0.25">
      <c r="A135" s="3" t="s">
        <v>130</v>
      </c>
      <c r="B135" s="4"/>
      <c r="C135" s="5">
        <f>2083.33</f>
        <v>2083.33</v>
      </c>
      <c r="D135" s="5">
        <f t="shared" si="108"/>
        <v>-2083.33</v>
      </c>
      <c r="E135" s="9">
        <f t="shared" si="109"/>
        <v>0</v>
      </c>
      <c r="F135" s="5">
        <f>132.5</f>
        <v>132.5</v>
      </c>
      <c r="G135" s="5">
        <f>2083.33</f>
        <v>2083.33</v>
      </c>
      <c r="H135" s="5">
        <f t="shared" si="110"/>
        <v>-1950.83</v>
      </c>
      <c r="I135" s="9">
        <f t="shared" si="111"/>
        <v>6.3600101760162814E-2</v>
      </c>
      <c r="J135" s="5">
        <f>106</f>
        <v>106</v>
      </c>
      <c r="K135" s="5">
        <f>2083.33</f>
        <v>2083.33</v>
      </c>
      <c r="L135" s="5">
        <f t="shared" si="112"/>
        <v>-1977.33</v>
      </c>
      <c r="M135" s="9">
        <f t="shared" si="113"/>
        <v>5.0880081408130252E-2</v>
      </c>
      <c r="N135" s="4"/>
      <c r="O135" s="5">
        <f>2083.33</f>
        <v>2083.33</v>
      </c>
      <c r="P135" s="5">
        <f t="shared" si="114"/>
        <v>-2083.33</v>
      </c>
      <c r="Q135" s="9">
        <f t="shared" si="115"/>
        <v>0</v>
      </c>
      <c r="R135" s="5">
        <f>995</f>
        <v>995</v>
      </c>
      <c r="S135" s="5">
        <f>2083.33</f>
        <v>2083.33</v>
      </c>
      <c r="T135" s="5">
        <f t="shared" si="116"/>
        <v>-1088.33</v>
      </c>
      <c r="U135" s="9">
        <f t="shared" si="117"/>
        <v>0.47760076416122266</v>
      </c>
      <c r="V135" s="5">
        <f>1148</f>
        <v>1148</v>
      </c>
      <c r="W135" s="5">
        <f>2083.33</f>
        <v>2083.33</v>
      </c>
      <c r="X135" s="5">
        <f t="shared" si="118"/>
        <v>-935.32999999999993</v>
      </c>
      <c r="Y135" s="9">
        <f t="shared" si="119"/>
        <v>0.55104088166541065</v>
      </c>
      <c r="Z135" s="4"/>
      <c r="AA135" s="5">
        <f>2083.33</f>
        <v>2083.33</v>
      </c>
      <c r="AB135" s="5">
        <f t="shared" si="120"/>
        <v>-2083.33</v>
      </c>
      <c r="AC135" s="9">
        <f t="shared" si="121"/>
        <v>0</v>
      </c>
      <c r="AD135" s="5">
        <f>424</f>
        <v>424</v>
      </c>
      <c r="AE135" s="5">
        <f>2083.33</f>
        <v>2083.33</v>
      </c>
      <c r="AF135" s="5">
        <f t="shared" si="122"/>
        <v>-1659.33</v>
      </c>
      <c r="AG135" s="9">
        <f t="shared" si="123"/>
        <v>0.20352032563252101</v>
      </c>
      <c r="AH135" s="5">
        <f>522.5</f>
        <v>522.5</v>
      </c>
      <c r="AI135" s="5">
        <f>2083.33</f>
        <v>2083.33</v>
      </c>
      <c r="AJ135" s="5">
        <f t="shared" si="124"/>
        <v>-1560.83</v>
      </c>
      <c r="AK135" s="9">
        <f t="shared" si="125"/>
        <v>0.25080040128064207</v>
      </c>
      <c r="AL135" s="108">
        <f>1127.5</f>
        <v>1127.5</v>
      </c>
      <c r="AM135" s="108">
        <f>2083.33</f>
        <v>2083.33</v>
      </c>
      <c r="AN135" s="108">
        <f t="shared" si="126"/>
        <v>-955.82999999999993</v>
      </c>
      <c r="AO135" s="109">
        <f t="shared" si="127"/>
        <v>0.5412008659213855</v>
      </c>
      <c r="AP135" s="4"/>
      <c r="AQ135" s="5">
        <f>2083.33</f>
        <v>2083.33</v>
      </c>
      <c r="AR135" s="5">
        <f t="shared" si="128"/>
        <v>-2083.33</v>
      </c>
      <c r="AS135" s="9">
        <f t="shared" si="129"/>
        <v>0</v>
      </c>
      <c r="AT135" s="4"/>
      <c r="AU135" s="5">
        <f>2083.37</f>
        <v>2083.37</v>
      </c>
      <c r="AV135" s="5">
        <f t="shared" si="130"/>
        <v>-2083.37</v>
      </c>
      <c r="AW135" s="9">
        <f t="shared" si="131"/>
        <v>0</v>
      </c>
      <c r="AX135" s="5">
        <f t="shared" si="132"/>
        <v>4455.5</v>
      </c>
      <c r="AY135" s="5">
        <v>25000.000000000004</v>
      </c>
      <c r="AZ135" s="5">
        <f t="shared" si="133"/>
        <v>-20544.500000000004</v>
      </c>
      <c r="BA135" s="9">
        <f t="shared" si="134"/>
        <v>0.17821999999999996</v>
      </c>
    </row>
    <row r="136" spans="1:53" x14ac:dyDescent="0.25">
      <c r="A136" s="3" t="s">
        <v>129</v>
      </c>
      <c r="B136" s="4"/>
      <c r="C136" s="4"/>
      <c r="D136" s="5">
        <f t="shared" si="108"/>
        <v>0</v>
      </c>
      <c r="E136" s="9" t="str">
        <f t="shared" si="109"/>
        <v/>
      </c>
      <c r="F136" s="4"/>
      <c r="G136" s="4"/>
      <c r="H136" s="5">
        <f t="shared" si="110"/>
        <v>0</v>
      </c>
      <c r="I136" s="9" t="str">
        <f t="shared" si="111"/>
        <v/>
      </c>
      <c r="J136" s="4"/>
      <c r="K136" s="4"/>
      <c r="L136" s="5">
        <f t="shared" si="112"/>
        <v>0</v>
      </c>
      <c r="M136" s="9" t="str">
        <f t="shared" si="113"/>
        <v/>
      </c>
      <c r="N136" s="4"/>
      <c r="O136" s="4"/>
      <c r="P136" s="5">
        <f t="shared" si="114"/>
        <v>0</v>
      </c>
      <c r="Q136" s="9" t="str">
        <f t="shared" si="115"/>
        <v/>
      </c>
      <c r="R136" s="4"/>
      <c r="S136" s="4"/>
      <c r="T136" s="5">
        <f t="shared" si="116"/>
        <v>0</v>
      </c>
      <c r="U136" s="9" t="str">
        <f t="shared" si="117"/>
        <v/>
      </c>
      <c r="V136" s="4"/>
      <c r="W136" s="4"/>
      <c r="X136" s="5">
        <f t="shared" si="118"/>
        <v>0</v>
      </c>
      <c r="Y136" s="9" t="str">
        <f t="shared" si="119"/>
        <v/>
      </c>
      <c r="Z136" s="4"/>
      <c r="AA136" s="4"/>
      <c r="AB136" s="5">
        <f t="shared" si="120"/>
        <v>0</v>
      </c>
      <c r="AC136" s="9" t="str">
        <f t="shared" si="121"/>
        <v/>
      </c>
      <c r="AD136" s="5">
        <f>2327.74</f>
        <v>2327.7399999999998</v>
      </c>
      <c r="AE136" s="4"/>
      <c r="AF136" s="5">
        <f t="shared" si="122"/>
        <v>2327.7399999999998</v>
      </c>
      <c r="AG136" s="9" t="str">
        <f t="shared" si="123"/>
        <v/>
      </c>
      <c r="AH136" s="4"/>
      <c r="AI136" s="4"/>
      <c r="AJ136" s="5">
        <f t="shared" si="124"/>
        <v>0</v>
      </c>
      <c r="AK136" s="9" t="str">
        <f t="shared" si="125"/>
        <v/>
      </c>
      <c r="AL136" s="107"/>
      <c r="AM136" s="107"/>
      <c r="AN136" s="108">
        <f t="shared" si="126"/>
        <v>0</v>
      </c>
      <c r="AO136" s="109" t="str">
        <f t="shared" si="127"/>
        <v/>
      </c>
      <c r="AP136" s="4"/>
      <c r="AQ136" s="4"/>
      <c r="AR136" s="5">
        <f t="shared" si="128"/>
        <v>0</v>
      </c>
      <c r="AS136" s="9" t="str">
        <f t="shared" si="129"/>
        <v/>
      </c>
      <c r="AT136" s="4"/>
      <c r="AU136" s="4"/>
      <c r="AV136" s="5">
        <f t="shared" si="130"/>
        <v>0</v>
      </c>
      <c r="AW136" s="9" t="str">
        <f t="shared" si="131"/>
        <v/>
      </c>
      <c r="AX136" s="5">
        <f t="shared" si="132"/>
        <v>2327.7399999999998</v>
      </c>
      <c r="AY136" s="5">
        <v>0</v>
      </c>
      <c r="AZ136" s="5">
        <f t="shared" si="133"/>
        <v>2327.7399999999998</v>
      </c>
      <c r="BA136" s="9" t="str">
        <f t="shared" si="134"/>
        <v/>
      </c>
    </row>
    <row r="137" spans="1:53" x14ac:dyDescent="0.25">
      <c r="A137" s="3" t="s">
        <v>128</v>
      </c>
      <c r="B137" s="4"/>
      <c r="C137" s="5">
        <f>1041.66</f>
        <v>1041.6600000000001</v>
      </c>
      <c r="D137" s="5">
        <f t="shared" si="108"/>
        <v>-1041.6600000000001</v>
      </c>
      <c r="E137" s="9">
        <f t="shared" si="109"/>
        <v>0</v>
      </c>
      <c r="F137" s="4"/>
      <c r="G137" s="5">
        <f>1041.66</f>
        <v>1041.6600000000001</v>
      </c>
      <c r="H137" s="5">
        <f t="shared" si="110"/>
        <v>-1041.6600000000001</v>
      </c>
      <c r="I137" s="9">
        <f t="shared" si="111"/>
        <v>0</v>
      </c>
      <c r="J137" s="4"/>
      <c r="K137" s="5">
        <f>1041.66</f>
        <v>1041.6600000000001</v>
      </c>
      <c r="L137" s="5">
        <f t="shared" si="112"/>
        <v>-1041.6600000000001</v>
      </c>
      <c r="M137" s="9">
        <f t="shared" si="113"/>
        <v>0</v>
      </c>
      <c r="N137" s="5">
        <f>12500</f>
        <v>12500</v>
      </c>
      <c r="O137" s="5">
        <f>1041.66</f>
        <v>1041.6600000000001</v>
      </c>
      <c r="P137" s="5">
        <f t="shared" si="114"/>
        <v>11458.34</v>
      </c>
      <c r="Q137" s="9">
        <f t="shared" si="115"/>
        <v>12.000076800491522</v>
      </c>
      <c r="R137" s="4"/>
      <c r="S137" s="5">
        <f>1041.66</f>
        <v>1041.6600000000001</v>
      </c>
      <c r="T137" s="5">
        <f t="shared" si="116"/>
        <v>-1041.6600000000001</v>
      </c>
      <c r="U137" s="9">
        <f t="shared" si="117"/>
        <v>0</v>
      </c>
      <c r="V137" s="4"/>
      <c r="W137" s="5">
        <f>1041.66</f>
        <v>1041.6600000000001</v>
      </c>
      <c r="X137" s="5">
        <f t="shared" si="118"/>
        <v>-1041.6600000000001</v>
      </c>
      <c r="Y137" s="9">
        <f t="shared" si="119"/>
        <v>0</v>
      </c>
      <c r="Z137" s="4"/>
      <c r="AA137" s="5">
        <f>1041.66</f>
        <v>1041.6600000000001</v>
      </c>
      <c r="AB137" s="5">
        <f t="shared" si="120"/>
        <v>-1041.6600000000001</v>
      </c>
      <c r="AC137" s="9">
        <f t="shared" si="121"/>
        <v>0</v>
      </c>
      <c r="AD137" s="4"/>
      <c r="AE137" s="5">
        <f>1041.66</f>
        <v>1041.6600000000001</v>
      </c>
      <c r="AF137" s="5">
        <f t="shared" si="122"/>
        <v>-1041.6600000000001</v>
      </c>
      <c r="AG137" s="9">
        <f t="shared" si="123"/>
        <v>0</v>
      </c>
      <c r="AH137" s="4"/>
      <c r="AI137" s="5">
        <f>1041.66</f>
        <v>1041.6600000000001</v>
      </c>
      <c r="AJ137" s="5">
        <f t="shared" si="124"/>
        <v>-1041.6600000000001</v>
      </c>
      <c r="AK137" s="9">
        <f t="shared" si="125"/>
        <v>0</v>
      </c>
      <c r="AL137" s="107"/>
      <c r="AM137" s="108">
        <f>1041.66</f>
        <v>1041.6600000000001</v>
      </c>
      <c r="AN137" s="108">
        <f t="shared" si="126"/>
        <v>-1041.6600000000001</v>
      </c>
      <c r="AO137" s="109">
        <f t="shared" si="127"/>
        <v>0</v>
      </c>
      <c r="AP137" s="5">
        <f>4896</f>
        <v>4896</v>
      </c>
      <c r="AQ137" s="5">
        <f>9041.66</f>
        <v>9041.66</v>
      </c>
      <c r="AR137" s="5">
        <f t="shared" si="128"/>
        <v>-4145.66</v>
      </c>
      <c r="AS137" s="9">
        <f t="shared" si="129"/>
        <v>0.54149348681547416</v>
      </c>
      <c r="AT137" s="4"/>
      <c r="AU137" s="5">
        <f>1041.74</f>
        <v>1041.74</v>
      </c>
      <c r="AV137" s="5">
        <f t="shared" si="130"/>
        <v>-1041.74</v>
      </c>
      <c r="AW137" s="9">
        <f t="shared" si="131"/>
        <v>0</v>
      </c>
      <c r="AX137" s="5">
        <f t="shared" si="132"/>
        <v>17396</v>
      </c>
      <c r="AY137" s="5">
        <v>20500.000000000004</v>
      </c>
      <c r="AZ137" s="5">
        <f t="shared" si="133"/>
        <v>-3104.0000000000036</v>
      </c>
      <c r="BA137" s="9">
        <f t="shared" si="134"/>
        <v>0.8485853658536584</v>
      </c>
    </row>
    <row r="138" spans="1:53" x14ac:dyDescent="0.25">
      <c r="A138" s="3" t="s">
        <v>127</v>
      </c>
      <c r="B138" s="4"/>
      <c r="C138" s="5">
        <f>0</f>
        <v>0</v>
      </c>
      <c r="D138" s="5">
        <f t="shared" si="108"/>
        <v>0</v>
      </c>
      <c r="E138" s="9" t="str">
        <f t="shared" si="109"/>
        <v/>
      </c>
      <c r="F138" s="4"/>
      <c r="G138" s="5">
        <f>0</f>
        <v>0</v>
      </c>
      <c r="H138" s="5">
        <f t="shared" si="110"/>
        <v>0</v>
      </c>
      <c r="I138" s="9" t="str">
        <f t="shared" si="111"/>
        <v/>
      </c>
      <c r="J138" s="4"/>
      <c r="K138" s="5">
        <f>0</f>
        <v>0</v>
      </c>
      <c r="L138" s="5">
        <f t="shared" si="112"/>
        <v>0</v>
      </c>
      <c r="M138" s="9" t="str">
        <f t="shared" si="113"/>
        <v/>
      </c>
      <c r="N138" s="4"/>
      <c r="O138" s="5">
        <f>0</f>
        <v>0</v>
      </c>
      <c r="P138" s="5">
        <f t="shared" si="114"/>
        <v>0</v>
      </c>
      <c r="Q138" s="9" t="str">
        <f t="shared" si="115"/>
        <v/>
      </c>
      <c r="R138" s="5">
        <f>172.5</f>
        <v>172.5</v>
      </c>
      <c r="S138" s="5">
        <f>0</f>
        <v>0</v>
      </c>
      <c r="T138" s="5">
        <f t="shared" si="116"/>
        <v>172.5</v>
      </c>
      <c r="U138" s="9" t="str">
        <f t="shared" si="117"/>
        <v/>
      </c>
      <c r="V138" s="4"/>
      <c r="W138" s="5">
        <f>0</f>
        <v>0</v>
      </c>
      <c r="X138" s="5">
        <f t="shared" si="118"/>
        <v>0</v>
      </c>
      <c r="Y138" s="9" t="str">
        <f t="shared" si="119"/>
        <v/>
      </c>
      <c r="Z138" s="4"/>
      <c r="AA138" s="5">
        <f>0</f>
        <v>0</v>
      </c>
      <c r="AB138" s="5">
        <f t="shared" si="120"/>
        <v>0</v>
      </c>
      <c r="AC138" s="9" t="str">
        <f t="shared" si="121"/>
        <v/>
      </c>
      <c r="AD138" s="5">
        <f>3160.94</f>
        <v>3160.94</v>
      </c>
      <c r="AE138" s="5">
        <f>0</f>
        <v>0</v>
      </c>
      <c r="AF138" s="5">
        <f t="shared" si="122"/>
        <v>3160.94</v>
      </c>
      <c r="AG138" s="9" t="str">
        <f t="shared" si="123"/>
        <v/>
      </c>
      <c r="AH138" s="5">
        <f>5843.75</f>
        <v>5843.75</v>
      </c>
      <c r="AI138" s="5">
        <f>0</f>
        <v>0</v>
      </c>
      <c r="AJ138" s="5">
        <f t="shared" si="124"/>
        <v>5843.75</v>
      </c>
      <c r="AK138" s="9" t="str">
        <f t="shared" si="125"/>
        <v/>
      </c>
      <c r="AL138" s="107"/>
      <c r="AM138" s="108">
        <f>3360</f>
        <v>3360</v>
      </c>
      <c r="AN138" s="108">
        <f t="shared" si="126"/>
        <v>-3360</v>
      </c>
      <c r="AO138" s="109">
        <f t="shared" si="127"/>
        <v>0</v>
      </c>
      <c r="AP138" s="4"/>
      <c r="AQ138" s="5">
        <f>0</f>
        <v>0</v>
      </c>
      <c r="AR138" s="5">
        <f t="shared" si="128"/>
        <v>0</v>
      </c>
      <c r="AS138" s="9" t="str">
        <f t="shared" si="129"/>
        <v/>
      </c>
      <c r="AT138" s="4"/>
      <c r="AU138" s="5">
        <f>0</f>
        <v>0</v>
      </c>
      <c r="AV138" s="5">
        <f t="shared" si="130"/>
        <v>0</v>
      </c>
      <c r="AW138" s="9" t="str">
        <f t="shared" si="131"/>
        <v/>
      </c>
      <c r="AX138" s="5">
        <f t="shared" si="132"/>
        <v>9177.19</v>
      </c>
      <c r="AY138" s="5">
        <v>3360</v>
      </c>
      <c r="AZ138" s="5">
        <f t="shared" si="133"/>
        <v>5817.1900000000005</v>
      </c>
      <c r="BA138" s="9">
        <f t="shared" si="134"/>
        <v>2.7313065476190479</v>
      </c>
    </row>
    <row r="139" spans="1:53" x14ac:dyDescent="0.25">
      <c r="A139" s="3" t="s">
        <v>126</v>
      </c>
      <c r="B139" s="4"/>
      <c r="C139" s="5">
        <f>90</f>
        <v>90</v>
      </c>
      <c r="D139" s="5">
        <f t="shared" si="108"/>
        <v>-90</v>
      </c>
      <c r="E139" s="9">
        <f t="shared" si="109"/>
        <v>0</v>
      </c>
      <c r="F139" s="4"/>
      <c r="G139" s="5">
        <f>90</f>
        <v>90</v>
      </c>
      <c r="H139" s="5">
        <f t="shared" si="110"/>
        <v>-90</v>
      </c>
      <c r="I139" s="9">
        <f t="shared" si="111"/>
        <v>0</v>
      </c>
      <c r="J139" s="4"/>
      <c r="K139" s="5">
        <f>90</f>
        <v>90</v>
      </c>
      <c r="L139" s="5">
        <f t="shared" si="112"/>
        <v>-90</v>
      </c>
      <c r="M139" s="9">
        <f t="shared" si="113"/>
        <v>0</v>
      </c>
      <c r="N139" s="4"/>
      <c r="O139" s="5">
        <f>90</f>
        <v>90</v>
      </c>
      <c r="P139" s="5">
        <f t="shared" si="114"/>
        <v>-90</v>
      </c>
      <c r="Q139" s="9">
        <f t="shared" si="115"/>
        <v>0</v>
      </c>
      <c r="R139" s="4"/>
      <c r="S139" s="5">
        <f>90</f>
        <v>90</v>
      </c>
      <c r="T139" s="5">
        <f t="shared" si="116"/>
        <v>-90</v>
      </c>
      <c r="U139" s="9">
        <f t="shared" si="117"/>
        <v>0</v>
      </c>
      <c r="V139" s="4"/>
      <c r="W139" s="5">
        <f>90</f>
        <v>90</v>
      </c>
      <c r="X139" s="5">
        <f t="shared" si="118"/>
        <v>-90</v>
      </c>
      <c r="Y139" s="9">
        <f t="shared" si="119"/>
        <v>0</v>
      </c>
      <c r="Z139" s="4"/>
      <c r="AA139" s="5">
        <f>90</f>
        <v>90</v>
      </c>
      <c r="AB139" s="5">
        <f t="shared" si="120"/>
        <v>-90</v>
      </c>
      <c r="AC139" s="9">
        <f t="shared" si="121"/>
        <v>0</v>
      </c>
      <c r="AD139" s="4"/>
      <c r="AE139" s="5">
        <f>90</f>
        <v>90</v>
      </c>
      <c r="AF139" s="5">
        <f t="shared" si="122"/>
        <v>-90</v>
      </c>
      <c r="AG139" s="9">
        <f t="shared" si="123"/>
        <v>0</v>
      </c>
      <c r="AH139" s="4"/>
      <c r="AI139" s="5">
        <f>90</f>
        <v>90</v>
      </c>
      <c r="AJ139" s="5">
        <f t="shared" si="124"/>
        <v>-90</v>
      </c>
      <c r="AK139" s="9">
        <f t="shared" si="125"/>
        <v>0</v>
      </c>
      <c r="AL139" s="107"/>
      <c r="AM139" s="108">
        <f>90</f>
        <v>90</v>
      </c>
      <c r="AN139" s="108">
        <f t="shared" si="126"/>
        <v>-90</v>
      </c>
      <c r="AO139" s="109">
        <f t="shared" si="127"/>
        <v>0</v>
      </c>
      <c r="AP139" s="4"/>
      <c r="AQ139" s="5">
        <f>90</f>
        <v>90</v>
      </c>
      <c r="AR139" s="5">
        <f t="shared" si="128"/>
        <v>-90</v>
      </c>
      <c r="AS139" s="9">
        <f t="shared" si="129"/>
        <v>0</v>
      </c>
      <c r="AT139" s="4"/>
      <c r="AU139" s="5">
        <f>90</f>
        <v>90</v>
      </c>
      <c r="AV139" s="5">
        <f t="shared" si="130"/>
        <v>-90</v>
      </c>
      <c r="AW139" s="9">
        <f t="shared" si="131"/>
        <v>0</v>
      </c>
      <c r="AX139" s="5">
        <f t="shared" si="132"/>
        <v>0</v>
      </c>
      <c r="AY139" s="5">
        <v>1080</v>
      </c>
      <c r="AZ139" s="5">
        <f t="shared" si="133"/>
        <v>-1080</v>
      </c>
      <c r="BA139" s="9">
        <f t="shared" si="134"/>
        <v>0</v>
      </c>
    </row>
    <row r="140" spans="1:53" x14ac:dyDescent="0.25">
      <c r="A140" s="3" t="s">
        <v>125</v>
      </c>
      <c r="B140" s="7">
        <f>(((((B134)+(B135))+(B136))+(B137))+(B138))+(B139)</f>
        <v>0</v>
      </c>
      <c r="C140" s="7">
        <f>(((((C134)+(C135))+(C136))+(C137))+(C138))+(C139)</f>
        <v>3214.99</v>
      </c>
      <c r="D140" s="7">
        <f t="shared" si="108"/>
        <v>-3214.99</v>
      </c>
      <c r="E140" s="8">
        <f t="shared" si="109"/>
        <v>0</v>
      </c>
      <c r="F140" s="7">
        <f>(((((F134)+(F135))+(F136))+(F137))+(F138))+(F139)</f>
        <v>132.5</v>
      </c>
      <c r="G140" s="7">
        <f>(((((G134)+(G135))+(G136))+(G137))+(G138))+(G139)</f>
        <v>3214.99</v>
      </c>
      <c r="H140" s="7">
        <f t="shared" si="110"/>
        <v>-3082.49</v>
      </c>
      <c r="I140" s="8">
        <f t="shared" si="111"/>
        <v>4.1213191953940763E-2</v>
      </c>
      <c r="J140" s="7">
        <f>(((((J134)+(J135))+(J136))+(J137))+(J138))+(J139)</f>
        <v>1806</v>
      </c>
      <c r="K140" s="7">
        <f>(((((K134)+(K135))+(K136))+(K137))+(K138))+(K139)</f>
        <v>3214.99</v>
      </c>
      <c r="L140" s="7">
        <f t="shared" si="112"/>
        <v>-1408.9899999999998</v>
      </c>
      <c r="M140" s="8">
        <f t="shared" si="113"/>
        <v>0.56174358240616618</v>
      </c>
      <c r="N140" s="7">
        <f>(((((N134)+(N135))+(N136))+(N137))+(N138))+(N139)</f>
        <v>17500</v>
      </c>
      <c r="O140" s="7">
        <f>(((((O134)+(O135))+(O136))+(O137))+(O138))+(O139)</f>
        <v>3214.99</v>
      </c>
      <c r="P140" s="7">
        <f t="shared" si="114"/>
        <v>14285.01</v>
      </c>
      <c r="Q140" s="8">
        <f t="shared" si="115"/>
        <v>5.4432517675016099</v>
      </c>
      <c r="R140" s="7">
        <f>(((((R134)+(R135))+(R136))+(R137))+(R138))+(R139)</f>
        <v>1167.5</v>
      </c>
      <c r="S140" s="7">
        <f>(((((S134)+(S135))+(S136))+(S137))+(S138))+(S139)</f>
        <v>3214.99</v>
      </c>
      <c r="T140" s="7">
        <f t="shared" si="116"/>
        <v>-2047.4899999999998</v>
      </c>
      <c r="U140" s="8">
        <f t="shared" si="117"/>
        <v>0.36314265363189313</v>
      </c>
      <c r="V140" s="7">
        <f>(((((V134)+(V135))+(V136))+(V137))+(V138))+(V139)</f>
        <v>4335.5</v>
      </c>
      <c r="W140" s="7">
        <f>(((((W134)+(W135))+(W136))+(W137))+(W138))+(W139)</f>
        <v>3214.99</v>
      </c>
      <c r="X140" s="7">
        <f t="shared" si="118"/>
        <v>1120.5100000000002</v>
      </c>
      <c r="Y140" s="8">
        <f t="shared" si="119"/>
        <v>1.3485267450287559</v>
      </c>
      <c r="Z140" s="7">
        <f>(((((Z134)+(Z135))+(Z136))+(Z137))+(Z138))+(Z139)</f>
        <v>1829.38</v>
      </c>
      <c r="AA140" s="7">
        <f>(((((AA134)+(AA135))+(AA136))+(AA137))+(AA138))+(AA139)</f>
        <v>3214.99</v>
      </c>
      <c r="AB140" s="7">
        <f t="shared" si="120"/>
        <v>-1385.6099999999997</v>
      </c>
      <c r="AC140" s="8">
        <f t="shared" si="121"/>
        <v>0.56901576676754839</v>
      </c>
      <c r="AD140" s="7">
        <f>(((((AD134)+(AD135))+(AD136))+(AD137))+(AD138))+(AD139)</f>
        <v>5912.68</v>
      </c>
      <c r="AE140" s="7">
        <f>(((((AE134)+(AE135))+(AE136))+(AE137))+(AE138))+(AE139)</f>
        <v>3770.99</v>
      </c>
      <c r="AF140" s="7">
        <f t="shared" si="122"/>
        <v>2141.6900000000005</v>
      </c>
      <c r="AG140" s="8">
        <f t="shared" si="123"/>
        <v>1.5679383928358337</v>
      </c>
      <c r="AH140" s="7">
        <f>(((((AH134)+(AH135))+(AH136))+(AH137))+(AH138))+(AH139)</f>
        <v>6366.25</v>
      </c>
      <c r="AI140" s="7">
        <f>(((((AI134)+(AI135))+(AI136))+(AI137))+(AI138))+(AI139)</f>
        <v>3770.99</v>
      </c>
      <c r="AJ140" s="7">
        <f t="shared" si="124"/>
        <v>2595.2600000000002</v>
      </c>
      <c r="AK140" s="8">
        <f t="shared" si="125"/>
        <v>1.6882171525249339</v>
      </c>
      <c r="AL140" s="110">
        <f>(((((AL134)+(AL135))+(AL136))+(AL137))+(AL138))+(AL139)</f>
        <v>1307.5</v>
      </c>
      <c r="AM140" s="110">
        <f>(((((AM134)+(AM135))+(AM136))+(AM137))+(AM138))+(AM139)</f>
        <v>7130.99</v>
      </c>
      <c r="AN140" s="110">
        <f t="shared" si="126"/>
        <v>-5823.49</v>
      </c>
      <c r="AO140" s="111">
        <f t="shared" si="127"/>
        <v>0.18335462537459737</v>
      </c>
      <c r="AP140" s="7">
        <f>(((((AP134)+(AP135))+(AP136))+(AP137))+(AP138))+(AP139)</f>
        <v>8521</v>
      </c>
      <c r="AQ140" s="7">
        <f>(((((AQ134)+(AQ135))+(AQ136))+(AQ137))+(AQ138))+(AQ139)</f>
        <v>11770.99</v>
      </c>
      <c r="AR140" s="7">
        <f t="shared" si="128"/>
        <v>-3249.99</v>
      </c>
      <c r="AS140" s="8">
        <f t="shared" si="129"/>
        <v>0.72389832970718693</v>
      </c>
      <c r="AT140" s="7">
        <f>(((((AT134)+(AT135))+(AT136))+(AT137))+(AT138))+(AT139)</f>
        <v>0</v>
      </c>
      <c r="AU140" s="7">
        <f>(((((AU134)+(AU135))+(AU136))+(AU137))+(AU138))+(AU139)</f>
        <v>3771.1099999999997</v>
      </c>
      <c r="AV140" s="7">
        <f t="shared" si="130"/>
        <v>-3771.1099999999997</v>
      </c>
      <c r="AW140" s="8">
        <f t="shared" si="131"/>
        <v>0</v>
      </c>
      <c r="AX140" s="7">
        <f t="shared" si="132"/>
        <v>48878.31</v>
      </c>
      <c r="AY140" s="7">
        <v>52719.999999999993</v>
      </c>
      <c r="AZ140" s="7">
        <f t="shared" si="133"/>
        <v>-3841.6899999999951</v>
      </c>
      <c r="BA140" s="8">
        <f t="shared" si="134"/>
        <v>0.92713031107739008</v>
      </c>
    </row>
    <row r="141" spans="1:53" x14ac:dyDescent="0.25">
      <c r="A141" s="3" t="s">
        <v>124</v>
      </c>
      <c r="B141" s="4"/>
      <c r="C141" s="4"/>
      <c r="D141" s="5">
        <f t="shared" si="108"/>
        <v>0</v>
      </c>
      <c r="E141" s="9" t="str">
        <f t="shared" si="109"/>
        <v/>
      </c>
      <c r="F141" s="4"/>
      <c r="G141" s="4"/>
      <c r="H141" s="5">
        <f t="shared" si="110"/>
        <v>0</v>
      </c>
      <c r="I141" s="9" t="str">
        <f t="shared" si="111"/>
        <v/>
      </c>
      <c r="J141" s="5">
        <f>107.42</f>
        <v>107.42</v>
      </c>
      <c r="K141" s="4"/>
      <c r="L141" s="5">
        <f t="shared" si="112"/>
        <v>107.42</v>
      </c>
      <c r="M141" s="9" t="str">
        <f t="shared" si="113"/>
        <v/>
      </c>
      <c r="N141" s="5">
        <f>189.39</f>
        <v>189.39</v>
      </c>
      <c r="O141" s="4"/>
      <c r="P141" s="5">
        <f t="shared" si="114"/>
        <v>189.39</v>
      </c>
      <c r="Q141" s="9" t="str">
        <f t="shared" si="115"/>
        <v/>
      </c>
      <c r="R141" s="4"/>
      <c r="S141" s="4"/>
      <c r="T141" s="5">
        <f t="shared" si="116"/>
        <v>0</v>
      </c>
      <c r="U141" s="9" t="str">
        <f t="shared" si="117"/>
        <v/>
      </c>
      <c r="V141" s="4"/>
      <c r="W141" s="4"/>
      <c r="X141" s="5">
        <f t="shared" si="118"/>
        <v>0</v>
      </c>
      <c r="Y141" s="9" t="str">
        <f t="shared" si="119"/>
        <v/>
      </c>
      <c r="Z141" s="5">
        <f>665.85</f>
        <v>665.85</v>
      </c>
      <c r="AA141" s="4"/>
      <c r="AB141" s="5">
        <f t="shared" si="120"/>
        <v>665.85</v>
      </c>
      <c r="AC141" s="9" t="str">
        <f t="shared" si="121"/>
        <v/>
      </c>
      <c r="AD141" s="5">
        <f>791.36</f>
        <v>791.36</v>
      </c>
      <c r="AE141" s="4"/>
      <c r="AF141" s="5">
        <f t="shared" si="122"/>
        <v>791.36</v>
      </c>
      <c r="AG141" s="9" t="str">
        <f t="shared" si="123"/>
        <v/>
      </c>
      <c r="AH141" s="5">
        <f>165</f>
        <v>165</v>
      </c>
      <c r="AI141" s="4"/>
      <c r="AJ141" s="5">
        <f t="shared" si="124"/>
        <v>165</v>
      </c>
      <c r="AK141" s="9" t="str">
        <f t="shared" si="125"/>
        <v/>
      </c>
      <c r="AL141" s="108">
        <f>204.87</f>
        <v>204.87</v>
      </c>
      <c r="AM141" s="107"/>
      <c r="AN141" s="108">
        <f t="shared" si="126"/>
        <v>204.87</v>
      </c>
      <c r="AO141" s="109" t="str">
        <f t="shared" si="127"/>
        <v/>
      </c>
      <c r="AP141" s="4"/>
      <c r="AQ141" s="4"/>
      <c r="AR141" s="5">
        <f t="shared" si="128"/>
        <v>0</v>
      </c>
      <c r="AS141" s="9" t="str">
        <f t="shared" si="129"/>
        <v/>
      </c>
      <c r="AT141" s="4"/>
      <c r="AU141" s="4"/>
      <c r="AV141" s="5">
        <f t="shared" si="130"/>
        <v>0</v>
      </c>
      <c r="AW141" s="9" t="str">
        <f t="shared" si="131"/>
        <v/>
      </c>
      <c r="AX141" s="5">
        <f t="shared" si="132"/>
        <v>2123.89</v>
      </c>
      <c r="AY141" s="5">
        <v>0</v>
      </c>
      <c r="AZ141" s="5">
        <f t="shared" si="133"/>
        <v>2123.89</v>
      </c>
      <c r="BA141" s="9" t="str">
        <f t="shared" si="134"/>
        <v/>
      </c>
    </row>
    <row r="142" spans="1:53" x14ac:dyDescent="0.25">
      <c r="A142" s="3" t="s">
        <v>123</v>
      </c>
      <c r="B142" s="4"/>
      <c r="C142" s="4"/>
      <c r="D142" s="5">
        <f t="shared" si="108"/>
        <v>0</v>
      </c>
      <c r="E142" s="9" t="str">
        <f t="shared" si="109"/>
        <v/>
      </c>
      <c r="F142" s="4"/>
      <c r="G142" s="4"/>
      <c r="H142" s="5">
        <f t="shared" si="110"/>
        <v>0</v>
      </c>
      <c r="I142" s="9" t="str">
        <f t="shared" si="111"/>
        <v/>
      </c>
      <c r="J142" s="4"/>
      <c r="K142" s="4"/>
      <c r="L142" s="5">
        <f t="shared" si="112"/>
        <v>0</v>
      </c>
      <c r="M142" s="9" t="str">
        <f t="shared" si="113"/>
        <v/>
      </c>
      <c r="N142" s="4"/>
      <c r="O142" s="4"/>
      <c r="P142" s="5">
        <f t="shared" si="114"/>
        <v>0</v>
      </c>
      <c r="Q142" s="9" t="str">
        <f t="shared" si="115"/>
        <v/>
      </c>
      <c r="R142" s="4"/>
      <c r="S142" s="4"/>
      <c r="T142" s="5">
        <f t="shared" si="116"/>
        <v>0</v>
      </c>
      <c r="U142" s="9" t="str">
        <f t="shared" si="117"/>
        <v/>
      </c>
      <c r="V142" s="4"/>
      <c r="W142" s="4"/>
      <c r="X142" s="5">
        <f t="shared" si="118"/>
        <v>0</v>
      </c>
      <c r="Y142" s="9" t="str">
        <f t="shared" si="119"/>
        <v/>
      </c>
      <c r="Z142" s="4"/>
      <c r="AA142" s="4"/>
      <c r="AB142" s="5">
        <f t="shared" si="120"/>
        <v>0</v>
      </c>
      <c r="AC142" s="9" t="str">
        <f t="shared" si="121"/>
        <v/>
      </c>
      <c r="AD142" s="4"/>
      <c r="AE142" s="4"/>
      <c r="AF142" s="5">
        <f t="shared" si="122"/>
        <v>0</v>
      </c>
      <c r="AG142" s="9" t="str">
        <f t="shared" si="123"/>
        <v/>
      </c>
      <c r="AH142" s="4"/>
      <c r="AI142" s="4"/>
      <c r="AJ142" s="5">
        <f t="shared" si="124"/>
        <v>0</v>
      </c>
      <c r="AK142" s="9" t="str">
        <f t="shared" si="125"/>
        <v/>
      </c>
      <c r="AL142" s="107"/>
      <c r="AM142" s="107"/>
      <c r="AN142" s="108">
        <f t="shared" si="126"/>
        <v>0</v>
      </c>
      <c r="AO142" s="109" t="str">
        <f t="shared" si="127"/>
        <v/>
      </c>
      <c r="AP142" s="5">
        <f>1147.76</f>
        <v>1147.76</v>
      </c>
      <c r="AQ142" s="4"/>
      <c r="AR142" s="5">
        <f t="shared" si="128"/>
        <v>1147.76</v>
      </c>
      <c r="AS142" s="9" t="str">
        <f t="shared" si="129"/>
        <v/>
      </c>
      <c r="AT142" s="4"/>
      <c r="AU142" s="4"/>
      <c r="AV142" s="5">
        <f t="shared" si="130"/>
        <v>0</v>
      </c>
      <c r="AW142" s="9" t="str">
        <f t="shared" si="131"/>
        <v/>
      </c>
      <c r="AX142" s="5">
        <f t="shared" si="132"/>
        <v>1147.76</v>
      </c>
      <c r="AY142" s="5">
        <v>0</v>
      </c>
      <c r="AZ142" s="5">
        <f t="shared" si="133"/>
        <v>1147.76</v>
      </c>
      <c r="BA142" s="9" t="str">
        <f t="shared" si="134"/>
        <v/>
      </c>
    </row>
    <row r="143" spans="1:53" x14ac:dyDescent="0.25">
      <c r="A143" s="3" t="s">
        <v>122</v>
      </c>
      <c r="B143" s="4"/>
      <c r="C143" s="4"/>
      <c r="D143" s="5">
        <f t="shared" si="108"/>
        <v>0</v>
      </c>
      <c r="E143" s="9" t="str">
        <f t="shared" si="109"/>
        <v/>
      </c>
      <c r="F143" s="4"/>
      <c r="G143" s="4"/>
      <c r="H143" s="5">
        <f t="shared" si="110"/>
        <v>0</v>
      </c>
      <c r="I143" s="9" t="str">
        <f t="shared" si="111"/>
        <v/>
      </c>
      <c r="J143" s="4"/>
      <c r="K143" s="4"/>
      <c r="L143" s="5">
        <f t="shared" si="112"/>
        <v>0</v>
      </c>
      <c r="M143" s="9" t="str">
        <f t="shared" si="113"/>
        <v/>
      </c>
      <c r="N143" s="4"/>
      <c r="O143" s="4"/>
      <c r="P143" s="5">
        <f t="shared" si="114"/>
        <v>0</v>
      </c>
      <c r="Q143" s="9" t="str">
        <f t="shared" si="115"/>
        <v/>
      </c>
      <c r="R143" s="4"/>
      <c r="S143" s="4"/>
      <c r="T143" s="5">
        <f t="shared" si="116"/>
        <v>0</v>
      </c>
      <c r="U143" s="9" t="str">
        <f t="shared" si="117"/>
        <v/>
      </c>
      <c r="V143" s="4"/>
      <c r="W143" s="4"/>
      <c r="X143" s="5">
        <f t="shared" si="118"/>
        <v>0</v>
      </c>
      <c r="Y143" s="9" t="str">
        <f t="shared" si="119"/>
        <v/>
      </c>
      <c r="Z143" s="4"/>
      <c r="AA143" s="4"/>
      <c r="AB143" s="5">
        <f t="shared" si="120"/>
        <v>0</v>
      </c>
      <c r="AC143" s="9" t="str">
        <f t="shared" si="121"/>
        <v/>
      </c>
      <c r="AD143" s="5">
        <f>92.86</f>
        <v>92.86</v>
      </c>
      <c r="AE143" s="4"/>
      <c r="AF143" s="5">
        <f t="shared" si="122"/>
        <v>92.86</v>
      </c>
      <c r="AG143" s="9" t="str">
        <f t="shared" si="123"/>
        <v/>
      </c>
      <c r="AH143" s="4"/>
      <c r="AI143" s="4"/>
      <c r="AJ143" s="5">
        <f t="shared" si="124"/>
        <v>0</v>
      </c>
      <c r="AK143" s="9" t="str">
        <f t="shared" si="125"/>
        <v/>
      </c>
      <c r="AL143" s="107"/>
      <c r="AM143" s="107"/>
      <c r="AN143" s="108">
        <f t="shared" si="126"/>
        <v>0</v>
      </c>
      <c r="AO143" s="109" t="str">
        <f t="shared" si="127"/>
        <v/>
      </c>
      <c r="AP143" s="4"/>
      <c r="AQ143" s="4"/>
      <c r="AR143" s="5">
        <f t="shared" si="128"/>
        <v>0</v>
      </c>
      <c r="AS143" s="9" t="str">
        <f t="shared" si="129"/>
        <v/>
      </c>
      <c r="AT143" s="4"/>
      <c r="AU143" s="4"/>
      <c r="AV143" s="5">
        <f t="shared" si="130"/>
        <v>0</v>
      </c>
      <c r="AW143" s="9" t="str">
        <f t="shared" si="131"/>
        <v/>
      </c>
      <c r="AX143" s="5">
        <f t="shared" si="132"/>
        <v>92.86</v>
      </c>
      <c r="AY143" s="5">
        <v>0</v>
      </c>
      <c r="AZ143" s="5">
        <f t="shared" si="133"/>
        <v>92.86</v>
      </c>
      <c r="BA143" s="9" t="str">
        <f t="shared" si="134"/>
        <v/>
      </c>
    </row>
    <row r="144" spans="1:53" x14ac:dyDescent="0.25">
      <c r="A144" s="3" t="s">
        <v>121</v>
      </c>
      <c r="B144" s="4"/>
      <c r="C144" s="4"/>
      <c r="D144" s="5">
        <f t="shared" si="108"/>
        <v>0</v>
      </c>
      <c r="E144" s="9" t="str">
        <f t="shared" si="109"/>
        <v/>
      </c>
      <c r="F144" s="4"/>
      <c r="G144" s="4"/>
      <c r="H144" s="5">
        <f t="shared" si="110"/>
        <v>0</v>
      </c>
      <c r="I144" s="9" t="str">
        <f t="shared" si="111"/>
        <v/>
      </c>
      <c r="J144" s="4"/>
      <c r="K144" s="4"/>
      <c r="L144" s="5">
        <f t="shared" si="112"/>
        <v>0</v>
      </c>
      <c r="M144" s="9" t="str">
        <f t="shared" si="113"/>
        <v/>
      </c>
      <c r="N144" s="4"/>
      <c r="O144" s="4"/>
      <c r="P144" s="5">
        <f t="shared" si="114"/>
        <v>0</v>
      </c>
      <c r="Q144" s="9" t="str">
        <f t="shared" si="115"/>
        <v/>
      </c>
      <c r="R144" s="4"/>
      <c r="S144" s="4"/>
      <c r="T144" s="5">
        <f t="shared" si="116"/>
        <v>0</v>
      </c>
      <c r="U144" s="9" t="str">
        <f t="shared" si="117"/>
        <v/>
      </c>
      <c r="V144" s="4"/>
      <c r="W144" s="4"/>
      <c r="X144" s="5">
        <f t="shared" si="118"/>
        <v>0</v>
      </c>
      <c r="Y144" s="9" t="str">
        <f t="shared" si="119"/>
        <v/>
      </c>
      <c r="Z144" s="4"/>
      <c r="AA144" s="4"/>
      <c r="AB144" s="5">
        <f t="shared" si="120"/>
        <v>0</v>
      </c>
      <c r="AC144" s="9" t="str">
        <f t="shared" si="121"/>
        <v/>
      </c>
      <c r="AD144" s="4"/>
      <c r="AE144" s="4"/>
      <c r="AF144" s="5">
        <f t="shared" si="122"/>
        <v>0</v>
      </c>
      <c r="AG144" s="9" t="str">
        <f t="shared" si="123"/>
        <v/>
      </c>
      <c r="AH144" s="5">
        <f>160</f>
        <v>160</v>
      </c>
      <c r="AI144" s="4"/>
      <c r="AJ144" s="5">
        <f t="shared" si="124"/>
        <v>160</v>
      </c>
      <c r="AK144" s="9" t="str">
        <f t="shared" si="125"/>
        <v/>
      </c>
      <c r="AL144" s="107"/>
      <c r="AM144" s="107"/>
      <c r="AN144" s="108">
        <f t="shared" si="126"/>
        <v>0</v>
      </c>
      <c r="AO144" s="109" t="str">
        <f t="shared" si="127"/>
        <v/>
      </c>
      <c r="AP144" s="4"/>
      <c r="AQ144" s="4"/>
      <c r="AR144" s="5">
        <f t="shared" si="128"/>
        <v>0</v>
      </c>
      <c r="AS144" s="9" t="str">
        <f t="shared" si="129"/>
        <v/>
      </c>
      <c r="AT144" s="4"/>
      <c r="AU144" s="4"/>
      <c r="AV144" s="5">
        <f t="shared" si="130"/>
        <v>0</v>
      </c>
      <c r="AW144" s="9" t="str">
        <f t="shared" si="131"/>
        <v/>
      </c>
      <c r="AX144" s="5">
        <f t="shared" si="132"/>
        <v>160</v>
      </c>
      <c r="AY144" s="5">
        <v>0</v>
      </c>
      <c r="AZ144" s="5">
        <f t="shared" si="133"/>
        <v>160</v>
      </c>
      <c r="BA144" s="9" t="str">
        <f t="shared" si="134"/>
        <v/>
      </c>
    </row>
    <row r="145" spans="1:53" x14ac:dyDescent="0.25">
      <c r="A145" s="3" t="s">
        <v>120</v>
      </c>
      <c r="B145" s="7">
        <f>(((((((B131)+(B132))+(B133))+(B140))+(B141))+(B142))+(B143))+(B144)</f>
        <v>5702.34</v>
      </c>
      <c r="C145" s="7">
        <f>(((((((C131)+(C132))+(C133))+(C140))+(C141))+(C142))+(C143))+(C144)</f>
        <v>18036.32</v>
      </c>
      <c r="D145" s="7">
        <f t="shared" si="108"/>
        <v>-12333.98</v>
      </c>
      <c r="E145" s="8">
        <f t="shared" si="109"/>
        <v>0.3161587286098273</v>
      </c>
      <c r="F145" s="7">
        <f>(((((((F131)+(F132))+(F133))+(F140))+(F141))+(F142))+(F143))+(F144)</f>
        <v>11537.18</v>
      </c>
      <c r="G145" s="7">
        <f>(((((((G131)+(G132))+(G133))+(G140))+(G141))+(G142))+(G143))+(G144)</f>
        <v>18036.32</v>
      </c>
      <c r="H145" s="7">
        <f t="shared" si="110"/>
        <v>-6499.1399999999994</v>
      </c>
      <c r="I145" s="8">
        <f t="shared" si="111"/>
        <v>0.6396637451542222</v>
      </c>
      <c r="J145" s="7">
        <f>(((((((J131)+(J132))+(J133))+(J140))+(J141))+(J142))+(J143))+(J144)</f>
        <v>13318.1</v>
      </c>
      <c r="K145" s="7">
        <f>(((((((K131)+(K132))+(K133))+(K140))+(K141))+(K142))+(K143))+(K144)</f>
        <v>18036.32</v>
      </c>
      <c r="L145" s="7">
        <f t="shared" si="112"/>
        <v>-4718.2199999999993</v>
      </c>
      <c r="M145" s="8">
        <f t="shared" si="113"/>
        <v>0.73840450823671355</v>
      </c>
      <c r="N145" s="7">
        <f>(((((((N131)+(N132))+(N133))+(N140))+(N141))+(N142))+(N143))+(N144)</f>
        <v>29094.07</v>
      </c>
      <c r="O145" s="7">
        <f>(((((((O131)+(O132))+(O133))+(O140))+(O141))+(O142))+(O143))+(O144)</f>
        <v>18036.32</v>
      </c>
      <c r="P145" s="7">
        <f t="shared" si="114"/>
        <v>11057.75</v>
      </c>
      <c r="Q145" s="8">
        <f t="shared" si="115"/>
        <v>1.6130823804412431</v>
      </c>
      <c r="R145" s="7">
        <f>(((((((R131)+(R132))+(R133))+(R140))+(R141))+(R142))+(R143))+(R144)</f>
        <v>12572.18</v>
      </c>
      <c r="S145" s="7">
        <f>(((((((S131)+(S132))+(S133))+(S140))+(S141))+(S142))+(S143))+(S144)</f>
        <v>18036.32</v>
      </c>
      <c r="T145" s="7">
        <f t="shared" si="116"/>
        <v>-5464.1399999999994</v>
      </c>
      <c r="U145" s="8">
        <f t="shared" si="117"/>
        <v>0.69704795656763685</v>
      </c>
      <c r="V145" s="7">
        <f>(((((((V131)+(V132))+(V133))+(V140))+(V141))+(V142))+(V143))+(V144)</f>
        <v>16240.18</v>
      </c>
      <c r="W145" s="7">
        <f>(((((((W131)+(W132))+(W133))+(W140))+(W141))+(W142))+(W143))+(W144)</f>
        <v>18036.32</v>
      </c>
      <c r="X145" s="7">
        <f t="shared" si="118"/>
        <v>-1796.1399999999994</v>
      </c>
      <c r="Y145" s="8">
        <f t="shared" si="119"/>
        <v>0.90041538406947763</v>
      </c>
      <c r="Z145" s="7">
        <f>(((((((Z131)+(Z132))+(Z133))+(Z140))+(Z141))+(Z142))+(Z143))+(Z144)</f>
        <v>15159.070000000002</v>
      </c>
      <c r="AA145" s="7">
        <f>(((((((AA131)+(AA132))+(AA133))+(AA140))+(AA141))+(AA142))+(AA143))+(AA144)</f>
        <v>18036.32</v>
      </c>
      <c r="AB145" s="7">
        <f t="shared" si="120"/>
        <v>-2877.2499999999982</v>
      </c>
      <c r="AC145" s="8">
        <f t="shared" si="121"/>
        <v>0.84047466445483343</v>
      </c>
      <c r="AD145" s="7">
        <f>(((((((AD131)+(AD132))+(AD133))+(AD140))+(AD141))+(AD142))+(AD143))+(AD144)</f>
        <v>18690.46</v>
      </c>
      <c r="AE145" s="7">
        <f>(((((((AE131)+(AE132))+(AE133))+(AE140))+(AE141))+(AE142))+(AE143))+(AE144)</f>
        <v>18592.32</v>
      </c>
      <c r="AF145" s="7">
        <f t="shared" si="122"/>
        <v>98.139999999999418</v>
      </c>
      <c r="AG145" s="8">
        <f t="shared" si="123"/>
        <v>1.0052785236054456</v>
      </c>
      <c r="AH145" s="7">
        <f>(((((((AH131)+(AH132))+(AH133))+(AH140))+(AH141))+(AH142))+(AH143))+(AH144)</f>
        <v>19599.52</v>
      </c>
      <c r="AI145" s="7">
        <f>(((((((AI131)+(AI132))+(AI133))+(AI140))+(AI141))+(AI142))+(AI143))+(AI144)</f>
        <v>18592.32</v>
      </c>
      <c r="AJ145" s="7">
        <f t="shared" si="124"/>
        <v>1007.2000000000007</v>
      </c>
      <c r="AK145" s="8">
        <f t="shared" si="125"/>
        <v>1.0541729058019655</v>
      </c>
      <c r="AL145" s="110">
        <f>(((((((AL131)+(AL132))+(AL133))+(AL140))+(AL141))+(AL142))+(AL143))+(AL144)</f>
        <v>12692.33</v>
      </c>
      <c r="AM145" s="110">
        <f>(((((((AM131)+(AM132))+(AM133))+(AM140))+(AM141))+(AM142))+(AM143))+(AM144)</f>
        <v>21952.32</v>
      </c>
      <c r="AN145" s="110">
        <f t="shared" si="126"/>
        <v>-9259.99</v>
      </c>
      <c r="AO145" s="111">
        <f t="shared" si="127"/>
        <v>0.57817715849623186</v>
      </c>
      <c r="AP145" s="7">
        <f>(((((((AP131)+(AP132))+(AP133))+(AP140))+(AP141))+(AP142))+(AP143))+(AP144)</f>
        <v>9668.76</v>
      </c>
      <c r="AQ145" s="7">
        <f>(((((((AQ131)+(AQ132))+(AQ133))+(AQ140))+(AQ141))+(AQ142))+(AQ143))+(AQ144)</f>
        <v>26592.32</v>
      </c>
      <c r="AR145" s="7">
        <f t="shared" si="128"/>
        <v>-16923.559999999998</v>
      </c>
      <c r="AS145" s="8">
        <f t="shared" si="129"/>
        <v>0.36359219503977092</v>
      </c>
      <c r="AT145" s="7">
        <f>(((((((AT131)+(AT132))+(AT133))+(AT140))+(AT141))+(AT142))+(AT143))+(AT144)</f>
        <v>0</v>
      </c>
      <c r="AU145" s="7">
        <f>(((((((AU131)+(AU132))+(AU133))+(AU140))+(AU141))+(AU142))+(AU143))+(AU144)</f>
        <v>18592.48</v>
      </c>
      <c r="AV145" s="7">
        <f t="shared" si="130"/>
        <v>-18592.48</v>
      </c>
      <c r="AW145" s="8">
        <f t="shared" si="131"/>
        <v>0</v>
      </c>
      <c r="AX145" s="7">
        <f t="shared" si="132"/>
        <v>164274.18999999997</v>
      </c>
      <c r="AY145" s="7">
        <v>230576.00000000006</v>
      </c>
      <c r="AZ145" s="7">
        <f t="shared" si="133"/>
        <v>-66301.810000000085</v>
      </c>
      <c r="BA145" s="8">
        <f t="shared" si="134"/>
        <v>0.7124513826243839</v>
      </c>
    </row>
    <row r="146" spans="1:53" x14ac:dyDescent="0.25">
      <c r="A146" s="3" t="s">
        <v>119</v>
      </c>
      <c r="B146" s="4"/>
      <c r="C146" s="4"/>
      <c r="D146" s="5">
        <f t="shared" si="108"/>
        <v>0</v>
      </c>
      <c r="E146" s="9" t="str">
        <f t="shared" si="109"/>
        <v/>
      </c>
      <c r="F146" s="4"/>
      <c r="G146" s="4"/>
      <c r="H146" s="5">
        <f t="shared" si="110"/>
        <v>0</v>
      </c>
      <c r="I146" s="9" t="str">
        <f t="shared" si="111"/>
        <v/>
      </c>
      <c r="J146" s="4"/>
      <c r="K146" s="4"/>
      <c r="L146" s="5">
        <f t="shared" si="112"/>
        <v>0</v>
      </c>
      <c r="M146" s="9" t="str">
        <f t="shared" si="113"/>
        <v/>
      </c>
      <c r="N146" s="4"/>
      <c r="O146" s="4"/>
      <c r="P146" s="5">
        <f t="shared" si="114"/>
        <v>0</v>
      </c>
      <c r="Q146" s="9" t="str">
        <f t="shared" si="115"/>
        <v/>
      </c>
      <c r="R146" s="4"/>
      <c r="S146" s="4"/>
      <c r="T146" s="5">
        <f t="shared" si="116"/>
        <v>0</v>
      </c>
      <c r="U146" s="9" t="str">
        <f t="shared" si="117"/>
        <v/>
      </c>
      <c r="V146" s="4"/>
      <c r="W146" s="4"/>
      <c r="X146" s="5">
        <f t="shared" si="118"/>
        <v>0</v>
      </c>
      <c r="Y146" s="9" t="str">
        <f t="shared" si="119"/>
        <v/>
      </c>
      <c r="Z146" s="4"/>
      <c r="AA146" s="4"/>
      <c r="AB146" s="5">
        <f t="shared" si="120"/>
        <v>0</v>
      </c>
      <c r="AC146" s="9" t="str">
        <f t="shared" si="121"/>
        <v/>
      </c>
      <c r="AD146" s="4"/>
      <c r="AE146" s="4"/>
      <c r="AF146" s="5">
        <f t="shared" si="122"/>
        <v>0</v>
      </c>
      <c r="AG146" s="9" t="str">
        <f t="shared" si="123"/>
        <v/>
      </c>
      <c r="AH146" s="4"/>
      <c r="AI146" s="4"/>
      <c r="AJ146" s="5">
        <f t="shared" si="124"/>
        <v>0</v>
      </c>
      <c r="AK146" s="9" t="str">
        <f t="shared" si="125"/>
        <v/>
      </c>
      <c r="AL146" s="107"/>
      <c r="AM146" s="107"/>
      <c r="AN146" s="108">
        <f t="shared" si="126"/>
        <v>0</v>
      </c>
      <c r="AO146" s="109" t="str">
        <f t="shared" si="127"/>
        <v/>
      </c>
      <c r="AP146" s="4"/>
      <c r="AQ146" s="4"/>
      <c r="AR146" s="5">
        <f t="shared" si="128"/>
        <v>0</v>
      </c>
      <c r="AS146" s="9" t="str">
        <f t="shared" si="129"/>
        <v/>
      </c>
      <c r="AT146" s="4"/>
      <c r="AU146" s="4"/>
      <c r="AV146" s="5">
        <f t="shared" si="130"/>
        <v>0</v>
      </c>
      <c r="AW146" s="9" t="str">
        <f t="shared" si="131"/>
        <v/>
      </c>
      <c r="AX146" s="5">
        <f t="shared" si="132"/>
        <v>0</v>
      </c>
      <c r="AY146" s="5">
        <v>0</v>
      </c>
      <c r="AZ146" s="5">
        <f t="shared" si="133"/>
        <v>0</v>
      </c>
      <c r="BA146" s="9" t="str">
        <f t="shared" si="134"/>
        <v/>
      </c>
    </row>
    <row r="147" spans="1:53" x14ac:dyDescent="0.25">
      <c r="A147" s="3" t="s">
        <v>118</v>
      </c>
      <c r="B147" s="5">
        <f>369</f>
        <v>369</v>
      </c>
      <c r="C147" s="4"/>
      <c r="D147" s="5">
        <f t="shared" si="108"/>
        <v>369</v>
      </c>
      <c r="E147" s="9" t="str">
        <f t="shared" si="109"/>
        <v/>
      </c>
      <c r="F147" s="4"/>
      <c r="G147" s="4"/>
      <c r="H147" s="5">
        <f t="shared" si="110"/>
        <v>0</v>
      </c>
      <c r="I147" s="9" t="str">
        <f t="shared" si="111"/>
        <v/>
      </c>
      <c r="J147" s="4"/>
      <c r="K147" s="4"/>
      <c r="L147" s="5">
        <f t="shared" si="112"/>
        <v>0</v>
      </c>
      <c r="M147" s="9" t="str">
        <f t="shared" si="113"/>
        <v/>
      </c>
      <c r="N147" s="4"/>
      <c r="O147" s="4"/>
      <c r="P147" s="5">
        <f t="shared" si="114"/>
        <v>0</v>
      </c>
      <c r="Q147" s="9" t="str">
        <f t="shared" si="115"/>
        <v/>
      </c>
      <c r="R147" s="4"/>
      <c r="S147" s="4"/>
      <c r="T147" s="5">
        <f t="shared" si="116"/>
        <v>0</v>
      </c>
      <c r="U147" s="9" t="str">
        <f t="shared" si="117"/>
        <v/>
      </c>
      <c r="V147" s="4"/>
      <c r="W147" s="4"/>
      <c r="X147" s="5">
        <f t="shared" si="118"/>
        <v>0</v>
      </c>
      <c r="Y147" s="9" t="str">
        <f t="shared" si="119"/>
        <v/>
      </c>
      <c r="Z147" s="4"/>
      <c r="AA147" s="4"/>
      <c r="AB147" s="5">
        <f t="shared" si="120"/>
        <v>0</v>
      </c>
      <c r="AC147" s="9" t="str">
        <f t="shared" si="121"/>
        <v/>
      </c>
      <c r="AD147" s="4"/>
      <c r="AE147" s="4"/>
      <c r="AF147" s="5">
        <f t="shared" si="122"/>
        <v>0</v>
      </c>
      <c r="AG147" s="9" t="str">
        <f t="shared" si="123"/>
        <v/>
      </c>
      <c r="AH147" s="4"/>
      <c r="AI147" s="4"/>
      <c r="AJ147" s="5">
        <f t="shared" si="124"/>
        <v>0</v>
      </c>
      <c r="AK147" s="9" t="str">
        <f t="shared" si="125"/>
        <v/>
      </c>
      <c r="AL147" s="107"/>
      <c r="AM147" s="107"/>
      <c r="AN147" s="108">
        <f t="shared" si="126"/>
        <v>0</v>
      </c>
      <c r="AO147" s="109" t="str">
        <f t="shared" si="127"/>
        <v/>
      </c>
      <c r="AP147" s="4"/>
      <c r="AQ147" s="4"/>
      <c r="AR147" s="5">
        <f t="shared" si="128"/>
        <v>0</v>
      </c>
      <c r="AS147" s="9" t="str">
        <f t="shared" si="129"/>
        <v/>
      </c>
      <c r="AT147" s="4"/>
      <c r="AU147" s="4"/>
      <c r="AV147" s="5">
        <f t="shared" si="130"/>
        <v>0</v>
      </c>
      <c r="AW147" s="9" t="str">
        <f t="shared" si="131"/>
        <v/>
      </c>
      <c r="AX147" s="5">
        <f t="shared" si="132"/>
        <v>369</v>
      </c>
      <c r="AY147" s="5">
        <v>0</v>
      </c>
      <c r="AZ147" s="5">
        <f t="shared" si="133"/>
        <v>369</v>
      </c>
      <c r="BA147" s="9" t="str">
        <f t="shared" si="134"/>
        <v/>
      </c>
    </row>
    <row r="148" spans="1:53" x14ac:dyDescent="0.25">
      <c r="A148" s="3" t="s">
        <v>117</v>
      </c>
      <c r="B148" s="4"/>
      <c r="C148" s="4"/>
      <c r="D148" s="5">
        <f t="shared" si="108"/>
        <v>0</v>
      </c>
      <c r="E148" s="9" t="str">
        <f t="shared" si="109"/>
        <v/>
      </c>
      <c r="F148" s="4"/>
      <c r="G148" s="4"/>
      <c r="H148" s="5">
        <f t="shared" si="110"/>
        <v>0</v>
      </c>
      <c r="I148" s="9" t="str">
        <f t="shared" si="111"/>
        <v/>
      </c>
      <c r="J148" s="4"/>
      <c r="K148" s="4"/>
      <c r="L148" s="5">
        <f t="shared" si="112"/>
        <v>0</v>
      </c>
      <c r="M148" s="9" t="str">
        <f t="shared" si="113"/>
        <v/>
      </c>
      <c r="N148" s="4"/>
      <c r="O148" s="4"/>
      <c r="P148" s="5">
        <f t="shared" si="114"/>
        <v>0</v>
      </c>
      <c r="Q148" s="9" t="str">
        <f t="shared" si="115"/>
        <v/>
      </c>
      <c r="R148" s="4"/>
      <c r="S148" s="4"/>
      <c r="T148" s="5">
        <f t="shared" si="116"/>
        <v>0</v>
      </c>
      <c r="U148" s="9" t="str">
        <f t="shared" si="117"/>
        <v/>
      </c>
      <c r="V148" s="4"/>
      <c r="W148" s="4"/>
      <c r="X148" s="5">
        <f t="shared" si="118"/>
        <v>0</v>
      </c>
      <c r="Y148" s="9" t="str">
        <f t="shared" si="119"/>
        <v/>
      </c>
      <c r="Z148" s="4"/>
      <c r="AA148" s="4"/>
      <c r="AB148" s="5">
        <f t="shared" si="120"/>
        <v>0</v>
      </c>
      <c r="AC148" s="9" t="str">
        <f t="shared" si="121"/>
        <v/>
      </c>
      <c r="AD148" s="4"/>
      <c r="AE148" s="4"/>
      <c r="AF148" s="5">
        <f t="shared" si="122"/>
        <v>0</v>
      </c>
      <c r="AG148" s="9" t="str">
        <f t="shared" si="123"/>
        <v/>
      </c>
      <c r="AH148" s="4"/>
      <c r="AI148" s="4"/>
      <c r="AJ148" s="5">
        <f t="shared" si="124"/>
        <v>0</v>
      </c>
      <c r="AK148" s="9" t="str">
        <f t="shared" si="125"/>
        <v/>
      </c>
      <c r="AL148" s="107"/>
      <c r="AM148" s="107"/>
      <c r="AN148" s="108">
        <f t="shared" si="126"/>
        <v>0</v>
      </c>
      <c r="AO148" s="109" t="str">
        <f t="shared" si="127"/>
        <v/>
      </c>
      <c r="AP148" s="4"/>
      <c r="AQ148" s="4"/>
      <c r="AR148" s="5">
        <f t="shared" si="128"/>
        <v>0</v>
      </c>
      <c r="AS148" s="9" t="str">
        <f t="shared" si="129"/>
        <v/>
      </c>
      <c r="AT148" s="5">
        <f>8042</f>
        <v>8042</v>
      </c>
      <c r="AU148" s="4"/>
      <c r="AV148" s="5">
        <f t="shared" si="130"/>
        <v>8042</v>
      </c>
      <c r="AW148" s="9" t="str">
        <f t="shared" si="131"/>
        <v/>
      </c>
      <c r="AX148" s="5">
        <f t="shared" si="132"/>
        <v>8042</v>
      </c>
      <c r="AY148" s="5">
        <v>0</v>
      </c>
      <c r="AZ148" s="5">
        <f t="shared" si="133"/>
        <v>8042</v>
      </c>
      <c r="BA148" s="9" t="str">
        <f t="shared" si="134"/>
        <v/>
      </c>
    </row>
    <row r="149" spans="1:53" x14ac:dyDescent="0.25">
      <c r="A149" s="3" t="s">
        <v>116</v>
      </c>
      <c r="B149" s="4"/>
      <c r="C149" s="4"/>
      <c r="D149" s="5">
        <f t="shared" si="108"/>
        <v>0</v>
      </c>
      <c r="E149" s="9" t="str">
        <f t="shared" si="109"/>
        <v/>
      </c>
      <c r="F149" s="4"/>
      <c r="G149" s="4"/>
      <c r="H149" s="5">
        <f t="shared" si="110"/>
        <v>0</v>
      </c>
      <c r="I149" s="9" t="str">
        <f t="shared" si="111"/>
        <v/>
      </c>
      <c r="J149" s="4"/>
      <c r="K149" s="4"/>
      <c r="L149" s="5">
        <f t="shared" si="112"/>
        <v>0</v>
      </c>
      <c r="M149" s="9" t="str">
        <f t="shared" si="113"/>
        <v/>
      </c>
      <c r="N149" s="4"/>
      <c r="O149" s="4"/>
      <c r="P149" s="5">
        <f t="shared" si="114"/>
        <v>0</v>
      </c>
      <c r="Q149" s="9" t="str">
        <f t="shared" si="115"/>
        <v/>
      </c>
      <c r="R149" s="4"/>
      <c r="S149" s="4"/>
      <c r="T149" s="5">
        <f t="shared" si="116"/>
        <v>0</v>
      </c>
      <c r="U149" s="9" t="str">
        <f t="shared" si="117"/>
        <v/>
      </c>
      <c r="V149" s="4"/>
      <c r="W149" s="4"/>
      <c r="X149" s="5">
        <f t="shared" si="118"/>
        <v>0</v>
      </c>
      <c r="Y149" s="9" t="str">
        <f t="shared" si="119"/>
        <v/>
      </c>
      <c r="Z149" s="4"/>
      <c r="AA149" s="4"/>
      <c r="AB149" s="5">
        <f t="shared" si="120"/>
        <v>0</v>
      </c>
      <c r="AC149" s="9" t="str">
        <f t="shared" si="121"/>
        <v/>
      </c>
      <c r="AD149" s="4"/>
      <c r="AE149" s="4"/>
      <c r="AF149" s="5">
        <f t="shared" si="122"/>
        <v>0</v>
      </c>
      <c r="AG149" s="9" t="str">
        <f t="shared" si="123"/>
        <v/>
      </c>
      <c r="AH149" s="5">
        <f>1303.16</f>
        <v>1303.1600000000001</v>
      </c>
      <c r="AI149" s="4"/>
      <c r="AJ149" s="5">
        <f t="shared" si="124"/>
        <v>1303.1600000000001</v>
      </c>
      <c r="AK149" s="9" t="str">
        <f t="shared" si="125"/>
        <v/>
      </c>
      <c r="AL149" s="107"/>
      <c r="AM149" s="107"/>
      <c r="AN149" s="108">
        <f t="shared" si="126"/>
        <v>0</v>
      </c>
      <c r="AO149" s="109" t="str">
        <f t="shared" si="127"/>
        <v/>
      </c>
      <c r="AP149" s="4"/>
      <c r="AQ149" s="4"/>
      <c r="AR149" s="5">
        <f t="shared" si="128"/>
        <v>0</v>
      </c>
      <c r="AS149" s="9" t="str">
        <f t="shared" si="129"/>
        <v/>
      </c>
      <c r="AT149" s="4"/>
      <c r="AU149" s="4"/>
      <c r="AV149" s="5">
        <f t="shared" si="130"/>
        <v>0</v>
      </c>
      <c r="AW149" s="9" t="str">
        <f t="shared" si="131"/>
        <v/>
      </c>
      <c r="AX149" s="5">
        <f t="shared" si="132"/>
        <v>1303.1600000000001</v>
      </c>
      <c r="AY149" s="5">
        <v>0</v>
      </c>
      <c r="AZ149" s="5">
        <f t="shared" si="133"/>
        <v>1303.1600000000001</v>
      </c>
      <c r="BA149" s="9" t="str">
        <f t="shared" si="134"/>
        <v/>
      </c>
    </row>
    <row r="150" spans="1:53" x14ac:dyDescent="0.25">
      <c r="A150" s="3" t="s">
        <v>115</v>
      </c>
      <c r="B150" s="4"/>
      <c r="C150" s="4"/>
      <c r="D150" s="5">
        <f t="shared" si="108"/>
        <v>0</v>
      </c>
      <c r="E150" s="9" t="str">
        <f t="shared" si="109"/>
        <v/>
      </c>
      <c r="F150" s="4"/>
      <c r="G150" s="4"/>
      <c r="H150" s="5">
        <f t="shared" si="110"/>
        <v>0</v>
      </c>
      <c r="I150" s="9" t="str">
        <f t="shared" si="111"/>
        <v/>
      </c>
      <c r="J150" s="4"/>
      <c r="K150" s="4"/>
      <c r="L150" s="5">
        <f t="shared" si="112"/>
        <v>0</v>
      </c>
      <c r="M150" s="9" t="str">
        <f t="shared" si="113"/>
        <v/>
      </c>
      <c r="N150" s="4"/>
      <c r="O150" s="4"/>
      <c r="P150" s="5">
        <f t="shared" si="114"/>
        <v>0</v>
      </c>
      <c r="Q150" s="9" t="str">
        <f t="shared" si="115"/>
        <v/>
      </c>
      <c r="R150" s="4"/>
      <c r="S150" s="4"/>
      <c r="T150" s="5">
        <f t="shared" si="116"/>
        <v>0</v>
      </c>
      <c r="U150" s="9" t="str">
        <f t="shared" si="117"/>
        <v/>
      </c>
      <c r="V150" s="4"/>
      <c r="W150" s="4"/>
      <c r="X150" s="5">
        <f t="shared" si="118"/>
        <v>0</v>
      </c>
      <c r="Y150" s="9" t="str">
        <f t="shared" si="119"/>
        <v/>
      </c>
      <c r="Z150" s="4"/>
      <c r="AA150" s="4"/>
      <c r="AB150" s="5">
        <f t="shared" si="120"/>
        <v>0</v>
      </c>
      <c r="AC150" s="9" t="str">
        <f t="shared" si="121"/>
        <v/>
      </c>
      <c r="AD150" s="4"/>
      <c r="AE150" s="4"/>
      <c r="AF150" s="5">
        <f t="shared" si="122"/>
        <v>0</v>
      </c>
      <c r="AG150" s="9" t="str">
        <f t="shared" si="123"/>
        <v/>
      </c>
      <c r="AH150" s="4"/>
      <c r="AI150" s="4"/>
      <c r="AJ150" s="5">
        <f t="shared" si="124"/>
        <v>0</v>
      </c>
      <c r="AK150" s="9" t="str">
        <f t="shared" si="125"/>
        <v/>
      </c>
      <c r="AL150" s="108">
        <f>-225.58</f>
        <v>-225.58</v>
      </c>
      <c r="AM150" s="107"/>
      <c r="AN150" s="108">
        <f t="shared" si="126"/>
        <v>-225.58</v>
      </c>
      <c r="AO150" s="109" t="str">
        <f t="shared" si="127"/>
        <v/>
      </c>
      <c r="AP150" s="4"/>
      <c r="AQ150" s="4"/>
      <c r="AR150" s="5">
        <f t="shared" si="128"/>
        <v>0</v>
      </c>
      <c r="AS150" s="9" t="str">
        <f t="shared" si="129"/>
        <v/>
      </c>
      <c r="AT150" s="4"/>
      <c r="AU150" s="4"/>
      <c r="AV150" s="5">
        <f t="shared" si="130"/>
        <v>0</v>
      </c>
      <c r="AW150" s="9" t="str">
        <f t="shared" si="131"/>
        <v/>
      </c>
      <c r="AX150" s="5">
        <f t="shared" si="132"/>
        <v>-225.58</v>
      </c>
      <c r="AY150" s="5">
        <v>0</v>
      </c>
      <c r="AZ150" s="5">
        <f t="shared" si="133"/>
        <v>-225.58</v>
      </c>
      <c r="BA150" s="9" t="str">
        <f t="shared" si="134"/>
        <v/>
      </c>
    </row>
    <row r="151" spans="1:53" x14ac:dyDescent="0.25">
      <c r="A151" s="3" t="s">
        <v>114</v>
      </c>
      <c r="B151" s="5">
        <f>3591.44</f>
        <v>3591.44</v>
      </c>
      <c r="C151" s="5">
        <f>9715</f>
        <v>9715</v>
      </c>
      <c r="D151" s="5">
        <f t="shared" si="108"/>
        <v>-6123.5599999999995</v>
      </c>
      <c r="E151" s="9">
        <f t="shared" si="109"/>
        <v>0.3696798764796706</v>
      </c>
      <c r="F151" s="5">
        <f>2710.98</f>
        <v>2710.98</v>
      </c>
      <c r="G151" s="5">
        <f>9715</f>
        <v>9715</v>
      </c>
      <c r="H151" s="5">
        <f t="shared" si="110"/>
        <v>-7004.02</v>
      </c>
      <c r="I151" s="9">
        <f t="shared" si="111"/>
        <v>0.27905095213587239</v>
      </c>
      <c r="J151" s="5">
        <f>1219.47</f>
        <v>1219.47</v>
      </c>
      <c r="K151" s="5">
        <f>9715</f>
        <v>9715</v>
      </c>
      <c r="L151" s="5">
        <f t="shared" si="112"/>
        <v>-8495.5300000000007</v>
      </c>
      <c r="M151" s="9">
        <f t="shared" si="113"/>
        <v>0.12552444673185795</v>
      </c>
      <c r="N151" s="4"/>
      <c r="O151" s="5">
        <f>9715</f>
        <v>9715</v>
      </c>
      <c r="P151" s="5">
        <f t="shared" si="114"/>
        <v>-9715</v>
      </c>
      <c r="Q151" s="9">
        <f t="shared" si="115"/>
        <v>0</v>
      </c>
      <c r="R151" s="4"/>
      <c r="S151" s="5">
        <f>9715</f>
        <v>9715</v>
      </c>
      <c r="T151" s="5">
        <f t="shared" si="116"/>
        <v>-9715</v>
      </c>
      <c r="U151" s="9">
        <f t="shared" si="117"/>
        <v>0</v>
      </c>
      <c r="V151" s="5">
        <f>190</f>
        <v>190</v>
      </c>
      <c r="W151" s="5">
        <f>9715</f>
        <v>9715</v>
      </c>
      <c r="X151" s="5">
        <f t="shared" si="118"/>
        <v>-9525</v>
      </c>
      <c r="Y151" s="9">
        <f t="shared" si="119"/>
        <v>1.9557385486361299E-2</v>
      </c>
      <c r="Z151" s="4"/>
      <c r="AA151" s="5">
        <f>9715</f>
        <v>9715</v>
      </c>
      <c r="AB151" s="5">
        <f t="shared" si="120"/>
        <v>-9715</v>
      </c>
      <c r="AC151" s="9">
        <f t="shared" si="121"/>
        <v>0</v>
      </c>
      <c r="AD151" s="5">
        <f>2107.78</f>
        <v>2107.7800000000002</v>
      </c>
      <c r="AE151" s="5">
        <f>9715</f>
        <v>9715</v>
      </c>
      <c r="AF151" s="5">
        <f t="shared" si="122"/>
        <v>-7607.2199999999993</v>
      </c>
      <c r="AG151" s="9">
        <f t="shared" si="123"/>
        <v>0.21696139989706642</v>
      </c>
      <c r="AH151" s="5">
        <f>2330</f>
        <v>2330</v>
      </c>
      <c r="AI151" s="5">
        <f>9715</f>
        <v>9715</v>
      </c>
      <c r="AJ151" s="5">
        <f t="shared" si="124"/>
        <v>-7385</v>
      </c>
      <c r="AK151" s="9">
        <f t="shared" si="125"/>
        <v>0.23983530622748328</v>
      </c>
      <c r="AL151" s="108">
        <f>400</f>
        <v>400</v>
      </c>
      <c r="AM151" s="108">
        <f>9715</f>
        <v>9715</v>
      </c>
      <c r="AN151" s="108">
        <f t="shared" si="126"/>
        <v>-9315</v>
      </c>
      <c r="AO151" s="109">
        <f t="shared" si="127"/>
        <v>4.1173443129181676E-2</v>
      </c>
      <c r="AP151" s="5">
        <f>8433.87</f>
        <v>8433.8700000000008</v>
      </c>
      <c r="AQ151" s="5">
        <f>9715</f>
        <v>9715</v>
      </c>
      <c r="AR151" s="5">
        <f t="shared" si="128"/>
        <v>-1281.1299999999992</v>
      </c>
      <c r="AS151" s="9">
        <f t="shared" si="129"/>
        <v>0.86812866700977875</v>
      </c>
      <c r="AT151" s="5">
        <f>11472.69</f>
        <v>11472.69</v>
      </c>
      <c r="AU151" s="5">
        <f>9715</f>
        <v>9715</v>
      </c>
      <c r="AV151" s="5">
        <f t="shared" si="130"/>
        <v>1757.6900000000005</v>
      </c>
      <c r="AW151" s="9">
        <f t="shared" si="131"/>
        <v>1.1809253731343283</v>
      </c>
      <c r="AX151" s="5">
        <f t="shared" si="132"/>
        <v>32456.230000000003</v>
      </c>
      <c r="AY151" s="5">
        <v>116580</v>
      </c>
      <c r="AZ151" s="5">
        <f t="shared" si="133"/>
        <v>-84123.76999999999</v>
      </c>
      <c r="BA151" s="9">
        <f t="shared" si="134"/>
        <v>0.27840307085263344</v>
      </c>
    </row>
    <row r="152" spans="1:53" x14ac:dyDescent="0.25">
      <c r="A152" s="3" t="s">
        <v>113</v>
      </c>
      <c r="B152" s="5">
        <f>5250</f>
        <v>5250</v>
      </c>
      <c r="C152" s="5">
        <f>0</f>
        <v>0</v>
      </c>
      <c r="D152" s="5">
        <f t="shared" si="108"/>
        <v>5250</v>
      </c>
      <c r="E152" s="9" t="str">
        <f t="shared" si="109"/>
        <v/>
      </c>
      <c r="F152" s="5">
        <f>7320</f>
        <v>7320</v>
      </c>
      <c r="G152" s="5">
        <f>0</f>
        <v>0</v>
      </c>
      <c r="H152" s="5">
        <f t="shared" si="110"/>
        <v>7320</v>
      </c>
      <c r="I152" s="9" t="str">
        <f t="shared" si="111"/>
        <v/>
      </c>
      <c r="J152" s="4"/>
      <c r="K152" s="5">
        <f>0</f>
        <v>0</v>
      </c>
      <c r="L152" s="5">
        <f t="shared" si="112"/>
        <v>0</v>
      </c>
      <c r="M152" s="9" t="str">
        <f t="shared" si="113"/>
        <v/>
      </c>
      <c r="N152" s="5">
        <f>32016</f>
        <v>32016</v>
      </c>
      <c r="O152" s="5">
        <f>0</f>
        <v>0</v>
      </c>
      <c r="P152" s="5">
        <f t="shared" si="114"/>
        <v>32016</v>
      </c>
      <c r="Q152" s="9" t="str">
        <f t="shared" si="115"/>
        <v/>
      </c>
      <c r="R152" s="5">
        <f>450</f>
        <v>450</v>
      </c>
      <c r="S152" s="5">
        <f>0</f>
        <v>0</v>
      </c>
      <c r="T152" s="5">
        <f t="shared" si="116"/>
        <v>450</v>
      </c>
      <c r="U152" s="9" t="str">
        <f t="shared" si="117"/>
        <v/>
      </c>
      <c r="V152" s="4"/>
      <c r="W152" s="5">
        <f>0</f>
        <v>0</v>
      </c>
      <c r="X152" s="5">
        <f t="shared" si="118"/>
        <v>0</v>
      </c>
      <c r="Y152" s="9" t="str">
        <f t="shared" si="119"/>
        <v/>
      </c>
      <c r="Z152" s="5">
        <f>14716</f>
        <v>14716</v>
      </c>
      <c r="AA152" s="5">
        <f>0</f>
        <v>0</v>
      </c>
      <c r="AB152" s="5">
        <f t="shared" si="120"/>
        <v>14716</v>
      </c>
      <c r="AC152" s="9" t="str">
        <f t="shared" si="121"/>
        <v/>
      </c>
      <c r="AD152" s="4"/>
      <c r="AE152" s="5">
        <f>6615</f>
        <v>6615</v>
      </c>
      <c r="AF152" s="5">
        <f t="shared" si="122"/>
        <v>-6615</v>
      </c>
      <c r="AG152" s="9">
        <f t="shared" si="123"/>
        <v>0</v>
      </c>
      <c r="AH152" s="5">
        <f>7890</f>
        <v>7890</v>
      </c>
      <c r="AI152" s="5">
        <f>6615</f>
        <v>6615</v>
      </c>
      <c r="AJ152" s="5">
        <f t="shared" si="124"/>
        <v>1275</v>
      </c>
      <c r="AK152" s="9">
        <f t="shared" si="125"/>
        <v>1.1927437641723355</v>
      </c>
      <c r="AL152" s="107"/>
      <c r="AM152" s="108">
        <f>6615</f>
        <v>6615</v>
      </c>
      <c r="AN152" s="108">
        <f t="shared" si="126"/>
        <v>-6615</v>
      </c>
      <c r="AO152" s="109">
        <f t="shared" si="127"/>
        <v>0</v>
      </c>
      <c r="AP152" s="5">
        <f>200</f>
        <v>200</v>
      </c>
      <c r="AQ152" s="5">
        <f>6615</f>
        <v>6615</v>
      </c>
      <c r="AR152" s="5">
        <f t="shared" si="128"/>
        <v>-6415</v>
      </c>
      <c r="AS152" s="9">
        <f t="shared" si="129"/>
        <v>3.0234315948601664E-2</v>
      </c>
      <c r="AT152" s="4"/>
      <c r="AU152" s="5">
        <f>6615</f>
        <v>6615</v>
      </c>
      <c r="AV152" s="5">
        <f t="shared" si="130"/>
        <v>-6615</v>
      </c>
      <c r="AW152" s="9">
        <f t="shared" si="131"/>
        <v>0</v>
      </c>
      <c r="AX152" s="5">
        <f t="shared" si="132"/>
        <v>67842</v>
      </c>
      <c r="AY152" s="5">
        <v>33075</v>
      </c>
      <c r="AZ152" s="5">
        <f t="shared" si="133"/>
        <v>34767</v>
      </c>
      <c r="BA152" s="9">
        <f t="shared" si="134"/>
        <v>2.051156462585034</v>
      </c>
    </row>
    <row r="153" spans="1:53" x14ac:dyDescent="0.25">
      <c r="A153" s="3" t="s">
        <v>112</v>
      </c>
      <c r="B153" s="5">
        <f>2450</f>
        <v>2450</v>
      </c>
      <c r="C153" s="5">
        <f>1666.66</f>
        <v>1666.66</v>
      </c>
      <c r="D153" s="5">
        <f t="shared" si="108"/>
        <v>783.33999999999992</v>
      </c>
      <c r="E153" s="9">
        <f t="shared" si="109"/>
        <v>1.4700058800235201</v>
      </c>
      <c r="F153" s="5">
        <f>650</f>
        <v>650</v>
      </c>
      <c r="G153" s="5">
        <f>1666.66</f>
        <v>1666.66</v>
      </c>
      <c r="H153" s="5">
        <f t="shared" si="110"/>
        <v>-1016.6600000000001</v>
      </c>
      <c r="I153" s="9">
        <f t="shared" si="111"/>
        <v>0.39000156000624003</v>
      </c>
      <c r="J153" s="5">
        <f>1150</f>
        <v>1150</v>
      </c>
      <c r="K153" s="5">
        <f>1666.66</f>
        <v>1666.66</v>
      </c>
      <c r="L153" s="5">
        <f t="shared" si="112"/>
        <v>-516.66000000000008</v>
      </c>
      <c r="M153" s="9">
        <f t="shared" si="113"/>
        <v>0.69000276001104</v>
      </c>
      <c r="N153" s="5">
        <f>650</f>
        <v>650</v>
      </c>
      <c r="O153" s="5">
        <f>1666.66</f>
        <v>1666.66</v>
      </c>
      <c r="P153" s="5">
        <f t="shared" si="114"/>
        <v>-1016.6600000000001</v>
      </c>
      <c r="Q153" s="9">
        <f t="shared" si="115"/>
        <v>0.39000156000624003</v>
      </c>
      <c r="R153" s="5">
        <f>650</f>
        <v>650</v>
      </c>
      <c r="S153" s="5">
        <f>1666.66</f>
        <v>1666.66</v>
      </c>
      <c r="T153" s="5">
        <f t="shared" si="116"/>
        <v>-1016.6600000000001</v>
      </c>
      <c r="U153" s="9">
        <f t="shared" si="117"/>
        <v>0.39000156000624003</v>
      </c>
      <c r="V153" s="5">
        <f>650</f>
        <v>650</v>
      </c>
      <c r="W153" s="5">
        <f>1666.66</f>
        <v>1666.66</v>
      </c>
      <c r="X153" s="5">
        <f t="shared" si="118"/>
        <v>-1016.6600000000001</v>
      </c>
      <c r="Y153" s="9">
        <f t="shared" si="119"/>
        <v>0.39000156000624003</v>
      </c>
      <c r="Z153" s="5">
        <f>650</f>
        <v>650</v>
      </c>
      <c r="AA153" s="5">
        <f>1666.66</f>
        <v>1666.66</v>
      </c>
      <c r="AB153" s="5">
        <f t="shared" si="120"/>
        <v>-1016.6600000000001</v>
      </c>
      <c r="AC153" s="9">
        <f t="shared" si="121"/>
        <v>0.39000156000624003</v>
      </c>
      <c r="AD153" s="5">
        <f>650</f>
        <v>650</v>
      </c>
      <c r="AE153" s="5">
        <f>1666.66</f>
        <v>1666.66</v>
      </c>
      <c r="AF153" s="5">
        <f t="shared" si="122"/>
        <v>-1016.6600000000001</v>
      </c>
      <c r="AG153" s="9">
        <f t="shared" si="123"/>
        <v>0.39000156000624003</v>
      </c>
      <c r="AH153" s="5">
        <f>1950</f>
        <v>1950</v>
      </c>
      <c r="AI153" s="5">
        <f>1666.66</f>
        <v>1666.66</v>
      </c>
      <c r="AJ153" s="5">
        <f t="shared" si="124"/>
        <v>283.33999999999992</v>
      </c>
      <c r="AK153" s="9">
        <f t="shared" si="125"/>
        <v>1.17000468001872</v>
      </c>
      <c r="AL153" s="108">
        <f>650</f>
        <v>650</v>
      </c>
      <c r="AM153" s="108">
        <f>1666.66</f>
        <v>1666.66</v>
      </c>
      <c r="AN153" s="108">
        <f t="shared" si="126"/>
        <v>-1016.6600000000001</v>
      </c>
      <c r="AO153" s="109">
        <f t="shared" si="127"/>
        <v>0.39000156000624003</v>
      </c>
      <c r="AP153" s="5">
        <f>650</f>
        <v>650</v>
      </c>
      <c r="AQ153" s="5">
        <f>1666.74</f>
        <v>1666.74</v>
      </c>
      <c r="AR153" s="5">
        <f t="shared" si="128"/>
        <v>-1016.74</v>
      </c>
      <c r="AS153" s="9">
        <f t="shared" si="129"/>
        <v>0.38998284075500678</v>
      </c>
      <c r="AT153" s="4"/>
      <c r="AU153" s="5">
        <f>1666.66</f>
        <v>1666.66</v>
      </c>
      <c r="AV153" s="5">
        <f t="shared" si="130"/>
        <v>-1666.66</v>
      </c>
      <c r="AW153" s="9">
        <f t="shared" si="131"/>
        <v>0</v>
      </c>
      <c r="AX153" s="5">
        <f t="shared" si="132"/>
        <v>10750</v>
      </c>
      <c r="AY153" s="5">
        <v>20000.000000000004</v>
      </c>
      <c r="AZ153" s="5">
        <f t="shared" si="133"/>
        <v>-9250.0000000000036</v>
      </c>
      <c r="BA153" s="9">
        <f t="shared" si="134"/>
        <v>0.53749999999999987</v>
      </c>
    </row>
    <row r="154" spans="1:53" x14ac:dyDescent="0.25">
      <c r="A154" s="3" t="s">
        <v>111</v>
      </c>
      <c r="B154" s="4"/>
      <c r="C154" s="5">
        <f>1189.66</f>
        <v>1189.6600000000001</v>
      </c>
      <c r="D154" s="5">
        <f t="shared" si="108"/>
        <v>-1189.6600000000001</v>
      </c>
      <c r="E154" s="9">
        <f t="shared" si="109"/>
        <v>0</v>
      </c>
      <c r="F154" s="5">
        <f>1029.95</f>
        <v>1029.95</v>
      </c>
      <c r="G154" s="5">
        <f>1189.66</f>
        <v>1189.6600000000001</v>
      </c>
      <c r="H154" s="5">
        <f t="shared" si="110"/>
        <v>-159.71000000000004</v>
      </c>
      <c r="I154" s="9">
        <f t="shared" si="111"/>
        <v>0.8657515592690348</v>
      </c>
      <c r="J154" s="5">
        <f>2099.95</f>
        <v>2099.9499999999998</v>
      </c>
      <c r="K154" s="5">
        <f>1189.66</f>
        <v>1189.6600000000001</v>
      </c>
      <c r="L154" s="5">
        <f t="shared" si="112"/>
        <v>910.28999999999974</v>
      </c>
      <c r="M154" s="9">
        <f t="shared" si="113"/>
        <v>1.7651681993174517</v>
      </c>
      <c r="N154" s="5">
        <f>1838.6</f>
        <v>1838.6</v>
      </c>
      <c r="O154" s="5">
        <f>1189.66</f>
        <v>1189.6600000000001</v>
      </c>
      <c r="P154" s="5">
        <f t="shared" si="114"/>
        <v>648.93999999999983</v>
      </c>
      <c r="Q154" s="9">
        <f t="shared" si="115"/>
        <v>1.5454835835448781</v>
      </c>
      <c r="R154" s="5">
        <f>1456</f>
        <v>1456</v>
      </c>
      <c r="S154" s="5">
        <f>1189.66</f>
        <v>1189.6600000000001</v>
      </c>
      <c r="T154" s="5">
        <f t="shared" si="116"/>
        <v>266.33999999999992</v>
      </c>
      <c r="U154" s="9">
        <f t="shared" si="117"/>
        <v>1.2238790915051359</v>
      </c>
      <c r="V154" s="5">
        <f>1560</f>
        <v>1560</v>
      </c>
      <c r="W154" s="5">
        <f>1189.66</f>
        <v>1189.6600000000001</v>
      </c>
      <c r="X154" s="5">
        <f t="shared" si="118"/>
        <v>370.33999999999992</v>
      </c>
      <c r="Y154" s="9">
        <f t="shared" si="119"/>
        <v>1.3112990266126456</v>
      </c>
      <c r="Z154" s="5">
        <f>4010.87</f>
        <v>4010.87</v>
      </c>
      <c r="AA154" s="5">
        <f>1189.66</f>
        <v>1189.6600000000001</v>
      </c>
      <c r="AB154" s="5">
        <f t="shared" si="120"/>
        <v>2821.21</v>
      </c>
      <c r="AC154" s="9">
        <f t="shared" si="121"/>
        <v>3.3714422608140135</v>
      </c>
      <c r="AD154" s="5">
        <f>3033.5</f>
        <v>3033.5</v>
      </c>
      <c r="AE154" s="5">
        <f>1189.66</f>
        <v>1189.6600000000001</v>
      </c>
      <c r="AF154" s="5">
        <f t="shared" si="122"/>
        <v>1843.84</v>
      </c>
      <c r="AG154" s="9">
        <f t="shared" si="123"/>
        <v>2.5498882033522179</v>
      </c>
      <c r="AH154" s="5">
        <f>2885.53</f>
        <v>2885.53</v>
      </c>
      <c r="AI154" s="5">
        <f>1189.66</f>
        <v>1189.6600000000001</v>
      </c>
      <c r="AJ154" s="5">
        <f t="shared" si="124"/>
        <v>1695.8700000000001</v>
      </c>
      <c r="AK154" s="9">
        <f t="shared" si="125"/>
        <v>2.4255081283728126</v>
      </c>
      <c r="AL154" s="108">
        <f>2492.6</f>
        <v>2492.6</v>
      </c>
      <c r="AM154" s="108">
        <f>1189.66</f>
        <v>1189.6600000000001</v>
      </c>
      <c r="AN154" s="108">
        <f t="shared" si="126"/>
        <v>1302.9399999999998</v>
      </c>
      <c r="AO154" s="109">
        <f t="shared" si="127"/>
        <v>2.0952204831632564</v>
      </c>
      <c r="AP154" s="5">
        <f>2080</f>
        <v>2080</v>
      </c>
      <c r="AQ154" s="5">
        <f>1189.74</f>
        <v>1189.74</v>
      </c>
      <c r="AR154" s="5">
        <f t="shared" si="128"/>
        <v>890.26</v>
      </c>
      <c r="AS154" s="9">
        <f t="shared" si="129"/>
        <v>1.748281137055155</v>
      </c>
      <c r="AT154" s="5">
        <f>520</f>
        <v>520</v>
      </c>
      <c r="AU154" s="5">
        <f>1189.66</f>
        <v>1189.6600000000001</v>
      </c>
      <c r="AV154" s="5">
        <f t="shared" si="130"/>
        <v>-669.66000000000008</v>
      </c>
      <c r="AW154" s="9">
        <f t="shared" si="131"/>
        <v>0.43709967553754853</v>
      </c>
      <c r="AX154" s="5">
        <f t="shared" si="132"/>
        <v>23006.999999999996</v>
      </c>
      <c r="AY154" s="5">
        <v>14276</v>
      </c>
      <c r="AZ154" s="5">
        <f t="shared" si="133"/>
        <v>8730.9999999999964</v>
      </c>
      <c r="BA154" s="9">
        <f t="shared" si="134"/>
        <v>1.6115858783973098</v>
      </c>
    </row>
    <row r="155" spans="1:53" x14ac:dyDescent="0.25">
      <c r="A155" s="3" t="s">
        <v>110</v>
      </c>
      <c r="B155" s="5">
        <f>154.04</f>
        <v>154.04</v>
      </c>
      <c r="C155" s="5">
        <f>416.66</f>
        <v>416.66</v>
      </c>
      <c r="D155" s="5">
        <f t="shared" si="108"/>
        <v>-262.62</v>
      </c>
      <c r="E155" s="9">
        <f t="shared" si="109"/>
        <v>0.36970191523064366</v>
      </c>
      <c r="F155" s="5">
        <f>1654.04</f>
        <v>1654.04</v>
      </c>
      <c r="G155" s="5">
        <f>416.66</f>
        <v>416.66</v>
      </c>
      <c r="H155" s="5">
        <f t="shared" si="110"/>
        <v>1237.3799999999999</v>
      </c>
      <c r="I155" s="9">
        <f t="shared" si="111"/>
        <v>3.9697595161522581</v>
      </c>
      <c r="J155" s="5">
        <f>154.04</f>
        <v>154.04</v>
      </c>
      <c r="K155" s="5">
        <f>416.66</f>
        <v>416.66</v>
      </c>
      <c r="L155" s="5">
        <f t="shared" si="112"/>
        <v>-262.62</v>
      </c>
      <c r="M155" s="9">
        <f t="shared" si="113"/>
        <v>0.36970191523064366</v>
      </c>
      <c r="N155" s="5">
        <f>154.04</f>
        <v>154.04</v>
      </c>
      <c r="O155" s="5">
        <f>416.66</f>
        <v>416.66</v>
      </c>
      <c r="P155" s="5">
        <f t="shared" si="114"/>
        <v>-262.62</v>
      </c>
      <c r="Q155" s="9">
        <f t="shared" si="115"/>
        <v>0.36970191523064366</v>
      </c>
      <c r="R155" s="5">
        <f>154.04</f>
        <v>154.04</v>
      </c>
      <c r="S155" s="5">
        <f>416.66</f>
        <v>416.66</v>
      </c>
      <c r="T155" s="5">
        <f t="shared" si="116"/>
        <v>-262.62</v>
      </c>
      <c r="U155" s="9">
        <f t="shared" si="117"/>
        <v>0.36970191523064366</v>
      </c>
      <c r="V155" s="5">
        <f>154.04</f>
        <v>154.04</v>
      </c>
      <c r="W155" s="5">
        <f>416.66</f>
        <v>416.66</v>
      </c>
      <c r="X155" s="5">
        <f t="shared" si="118"/>
        <v>-262.62</v>
      </c>
      <c r="Y155" s="9">
        <f t="shared" si="119"/>
        <v>0.36970191523064366</v>
      </c>
      <c r="Z155" s="5">
        <f>739.04</f>
        <v>739.04</v>
      </c>
      <c r="AA155" s="5">
        <f>416.66</f>
        <v>416.66</v>
      </c>
      <c r="AB155" s="5">
        <f t="shared" si="120"/>
        <v>322.37999999999994</v>
      </c>
      <c r="AC155" s="9">
        <f t="shared" si="121"/>
        <v>1.7737243795900732</v>
      </c>
      <c r="AD155" s="5">
        <f>125</f>
        <v>125</v>
      </c>
      <c r="AE155" s="5">
        <f>416.66</f>
        <v>416.66</v>
      </c>
      <c r="AF155" s="5">
        <f t="shared" si="122"/>
        <v>-291.66000000000003</v>
      </c>
      <c r="AG155" s="9">
        <f t="shared" si="123"/>
        <v>0.30000480007680119</v>
      </c>
      <c r="AH155" s="5">
        <f>399.04</f>
        <v>399.04</v>
      </c>
      <c r="AI155" s="5">
        <f>416.66</f>
        <v>416.66</v>
      </c>
      <c r="AJ155" s="5">
        <f t="shared" si="124"/>
        <v>-17.620000000000005</v>
      </c>
      <c r="AK155" s="9">
        <f t="shared" si="125"/>
        <v>0.95771132338117404</v>
      </c>
      <c r="AL155" s="108">
        <f>279.04</f>
        <v>279.04000000000002</v>
      </c>
      <c r="AM155" s="108">
        <f>416.66</f>
        <v>416.66</v>
      </c>
      <c r="AN155" s="108">
        <f t="shared" si="126"/>
        <v>-137.62</v>
      </c>
      <c r="AO155" s="109">
        <f t="shared" si="127"/>
        <v>0.66970671530744497</v>
      </c>
      <c r="AP155" s="5">
        <f>565.08</f>
        <v>565.08000000000004</v>
      </c>
      <c r="AQ155" s="5">
        <f>416.66</f>
        <v>416.66</v>
      </c>
      <c r="AR155" s="5">
        <f t="shared" si="128"/>
        <v>148.42000000000002</v>
      </c>
      <c r="AS155" s="9">
        <f t="shared" si="129"/>
        <v>1.3562136994191907</v>
      </c>
      <c r="AT155" s="4"/>
      <c r="AU155" s="5">
        <f>416.74</f>
        <v>416.74</v>
      </c>
      <c r="AV155" s="5">
        <f t="shared" si="130"/>
        <v>-416.74</v>
      </c>
      <c r="AW155" s="9">
        <f t="shared" si="131"/>
        <v>0</v>
      </c>
      <c r="AX155" s="5">
        <f t="shared" si="132"/>
        <v>4531.4399999999996</v>
      </c>
      <c r="AY155" s="5">
        <v>4999.9999999999991</v>
      </c>
      <c r="AZ155" s="5">
        <f t="shared" si="133"/>
        <v>-468.55999999999949</v>
      </c>
      <c r="BA155" s="9">
        <f t="shared" si="134"/>
        <v>0.90628800000000009</v>
      </c>
    </row>
    <row r="156" spans="1:53" x14ac:dyDescent="0.25">
      <c r="A156" s="3" t="s">
        <v>109</v>
      </c>
      <c r="B156" s="7">
        <f>((((B151)+(B152))+(B153))+(B154))+(B155)</f>
        <v>11445.480000000001</v>
      </c>
      <c r="C156" s="7">
        <f>((((C151)+(C152))+(C153))+(C154))+(C155)</f>
        <v>12987.98</v>
      </c>
      <c r="D156" s="7">
        <f t="shared" si="108"/>
        <v>-1542.4999999999982</v>
      </c>
      <c r="E156" s="8">
        <f t="shared" si="109"/>
        <v>0.88123634314188981</v>
      </c>
      <c r="F156" s="7">
        <f>((((F151)+(F152))+(F153))+(F154))+(F155)</f>
        <v>13364.970000000001</v>
      </c>
      <c r="G156" s="7">
        <f>((((G151)+(G152))+(G153))+(G154))+(G155)</f>
        <v>12987.98</v>
      </c>
      <c r="H156" s="7">
        <f t="shared" si="110"/>
        <v>376.9900000000016</v>
      </c>
      <c r="I156" s="8">
        <f t="shared" si="111"/>
        <v>1.0290260687189232</v>
      </c>
      <c r="J156" s="7">
        <f>((((J151)+(J152))+(J153))+(J154))+(J155)</f>
        <v>4623.46</v>
      </c>
      <c r="K156" s="7">
        <f>((((K151)+(K152))+(K153))+(K154))+(K155)</f>
        <v>12987.98</v>
      </c>
      <c r="L156" s="7">
        <f t="shared" si="112"/>
        <v>-8364.52</v>
      </c>
      <c r="M156" s="8">
        <f t="shared" si="113"/>
        <v>0.35597991373562327</v>
      </c>
      <c r="N156" s="7">
        <f>((((N151)+(N152))+(N153))+(N154))+(N155)</f>
        <v>34658.639999999999</v>
      </c>
      <c r="O156" s="7">
        <f>((((O151)+(O152))+(O153))+(O154))+(O155)</f>
        <v>12987.98</v>
      </c>
      <c r="P156" s="7">
        <f t="shared" si="114"/>
        <v>21670.66</v>
      </c>
      <c r="Q156" s="8">
        <f t="shared" si="115"/>
        <v>2.6685165822552852</v>
      </c>
      <c r="R156" s="7">
        <f>((((R151)+(R152))+(R153))+(R154))+(R155)</f>
        <v>2710.04</v>
      </c>
      <c r="S156" s="7">
        <f>((((S151)+(S152))+(S153))+(S154))+(S155)</f>
        <v>12987.98</v>
      </c>
      <c r="T156" s="7">
        <f t="shared" si="116"/>
        <v>-10277.939999999999</v>
      </c>
      <c r="U156" s="8">
        <f t="shared" si="117"/>
        <v>0.20865754335932146</v>
      </c>
      <c r="V156" s="7">
        <f>((((V151)+(V152))+(V153))+(V154))+(V155)</f>
        <v>2554.04</v>
      </c>
      <c r="W156" s="7">
        <f>((((W151)+(W152))+(W153))+(W154))+(W155)</f>
        <v>12987.98</v>
      </c>
      <c r="X156" s="7">
        <f t="shared" si="118"/>
        <v>-10433.939999999999</v>
      </c>
      <c r="Y156" s="8">
        <f t="shared" si="119"/>
        <v>0.1966464377062484</v>
      </c>
      <c r="Z156" s="7">
        <f>((((Z151)+(Z152))+(Z153))+(Z154))+(Z155)</f>
        <v>20115.91</v>
      </c>
      <c r="AA156" s="7">
        <f>((((AA151)+(AA152))+(AA153))+(AA154))+(AA155)</f>
        <v>12987.98</v>
      </c>
      <c r="AB156" s="7">
        <f t="shared" si="120"/>
        <v>7127.93</v>
      </c>
      <c r="AC156" s="8">
        <f t="shared" si="121"/>
        <v>1.5488097456263408</v>
      </c>
      <c r="AD156" s="7">
        <f>((((AD151)+(AD152))+(AD153))+(AD154))+(AD155)</f>
        <v>5916.2800000000007</v>
      </c>
      <c r="AE156" s="7">
        <f>((((AE151)+(AE152))+(AE153))+(AE154))+(AE155)</f>
        <v>19602.98</v>
      </c>
      <c r="AF156" s="7">
        <f t="shared" si="122"/>
        <v>-13686.699999999999</v>
      </c>
      <c r="AG156" s="8">
        <f t="shared" si="123"/>
        <v>0.3018051337092626</v>
      </c>
      <c r="AH156" s="7">
        <f>((((AH151)+(AH152))+(AH153))+(AH154))+(AH155)</f>
        <v>15454.570000000002</v>
      </c>
      <c r="AI156" s="7">
        <f>((((AI151)+(AI152))+(AI153))+(AI154))+(AI155)</f>
        <v>19602.98</v>
      </c>
      <c r="AJ156" s="7">
        <f t="shared" si="124"/>
        <v>-4148.409999999998</v>
      </c>
      <c r="AK156" s="8">
        <f t="shared" si="125"/>
        <v>0.78837860366128021</v>
      </c>
      <c r="AL156" s="110">
        <f>((((AL151)+(AL152))+(AL153))+(AL154))+(AL155)</f>
        <v>3821.64</v>
      </c>
      <c r="AM156" s="110">
        <f>((((AM151)+(AM152))+(AM153))+(AM154))+(AM155)</f>
        <v>19602.98</v>
      </c>
      <c r="AN156" s="110">
        <f t="shared" si="126"/>
        <v>-15781.34</v>
      </c>
      <c r="AO156" s="111">
        <f t="shared" si="127"/>
        <v>0.1949519919930541</v>
      </c>
      <c r="AP156" s="7">
        <f>((((AP151)+(AP152))+(AP153))+(AP154))+(AP155)</f>
        <v>11928.95</v>
      </c>
      <c r="AQ156" s="7">
        <f>((((AQ151)+(AQ152))+(AQ153))+(AQ154))+(AQ155)</f>
        <v>19603.140000000003</v>
      </c>
      <c r="AR156" s="7">
        <f t="shared" si="128"/>
        <v>-7674.1900000000023</v>
      </c>
      <c r="AS156" s="8">
        <f t="shared" si="129"/>
        <v>0.60852241018530695</v>
      </c>
      <c r="AT156" s="7">
        <f>((((AT151)+(AT152))+(AT153))+(AT154))+(AT155)</f>
        <v>11992.69</v>
      </c>
      <c r="AU156" s="7">
        <f>((((AU151)+(AU152))+(AU153))+(AU154))+(AU155)</f>
        <v>19603.060000000001</v>
      </c>
      <c r="AV156" s="7">
        <f t="shared" si="130"/>
        <v>-7610.3700000000008</v>
      </c>
      <c r="AW156" s="8">
        <f t="shared" si="131"/>
        <v>0.61177642674153931</v>
      </c>
      <c r="AX156" s="7">
        <f t="shared" si="132"/>
        <v>138586.66999999998</v>
      </c>
      <c r="AY156" s="7">
        <v>188931</v>
      </c>
      <c r="AZ156" s="7">
        <f t="shared" si="133"/>
        <v>-50344.330000000016</v>
      </c>
      <c r="BA156" s="8">
        <f t="shared" si="134"/>
        <v>0.73353060111892698</v>
      </c>
    </row>
    <row r="157" spans="1:53" x14ac:dyDescent="0.25">
      <c r="A157" s="3" t="s">
        <v>108</v>
      </c>
      <c r="B157" s="4"/>
      <c r="C157" s="4"/>
      <c r="D157" s="5">
        <f t="shared" si="108"/>
        <v>0</v>
      </c>
      <c r="E157" s="9" t="str">
        <f t="shared" si="109"/>
        <v/>
      </c>
      <c r="F157" s="4"/>
      <c r="G157" s="4"/>
      <c r="H157" s="5">
        <f t="shared" si="110"/>
        <v>0</v>
      </c>
      <c r="I157" s="9" t="str">
        <f t="shared" si="111"/>
        <v/>
      </c>
      <c r="J157" s="4"/>
      <c r="K157" s="4"/>
      <c r="L157" s="5">
        <f t="shared" si="112"/>
        <v>0</v>
      </c>
      <c r="M157" s="9" t="str">
        <f t="shared" si="113"/>
        <v/>
      </c>
      <c r="N157" s="4"/>
      <c r="O157" s="4"/>
      <c r="P157" s="5">
        <f t="shared" si="114"/>
        <v>0</v>
      </c>
      <c r="Q157" s="9" t="str">
        <f t="shared" si="115"/>
        <v/>
      </c>
      <c r="R157" s="4"/>
      <c r="S157" s="4"/>
      <c r="T157" s="5">
        <f t="shared" si="116"/>
        <v>0</v>
      </c>
      <c r="U157" s="9" t="str">
        <f t="shared" si="117"/>
        <v/>
      </c>
      <c r="V157" s="4"/>
      <c r="W157" s="4"/>
      <c r="X157" s="5">
        <f t="shared" si="118"/>
        <v>0</v>
      </c>
      <c r="Y157" s="9" t="str">
        <f t="shared" si="119"/>
        <v/>
      </c>
      <c r="Z157" s="4"/>
      <c r="AA157" s="4"/>
      <c r="AB157" s="5">
        <f t="shared" si="120"/>
        <v>0</v>
      </c>
      <c r="AC157" s="9" t="str">
        <f t="shared" si="121"/>
        <v/>
      </c>
      <c r="AD157" s="4"/>
      <c r="AE157" s="4"/>
      <c r="AF157" s="5">
        <f t="shared" si="122"/>
        <v>0</v>
      </c>
      <c r="AG157" s="9" t="str">
        <f t="shared" si="123"/>
        <v/>
      </c>
      <c r="AH157" s="4"/>
      <c r="AI157" s="4"/>
      <c r="AJ157" s="5">
        <f t="shared" si="124"/>
        <v>0</v>
      </c>
      <c r="AK157" s="9" t="str">
        <f t="shared" si="125"/>
        <v/>
      </c>
      <c r="AL157" s="108">
        <f>3759.76</f>
        <v>3759.76</v>
      </c>
      <c r="AM157" s="107"/>
      <c r="AN157" s="108">
        <f t="shared" si="126"/>
        <v>3759.76</v>
      </c>
      <c r="AO157" s="109" t="str">
        <f t="shared" si="127"/>
        <v/>
      </c>
      <c r="AP157" s="4"/>
      <c r="AQ157" s="4"/>
      <c r="AR157" s="5">
        <f t="shared" si="128"/>
        <v>0</v>
      </c>
      <c r="AS157" s="9" t="str">
        <f t="shared" si="129"/>
        <v/>
      </c>
      <c r="AT157" s="4"/>
      <c r="AU157" s="4"/>
      <c r="AV157" s="5">
        <f t="shared" si="130"/>
        <v>0</v>
      </c>
      <c r="AW157" s="9" t="str">
        <f t="shared" si="131"/>
        <v/>
      </c>
      <c r="AX157" s="5">
        <f t="shared" si="132"/>
        <v>3759.76</v>
      </c>
      <c r="AY157" s="5">
        <v>0</v>
      </c>
      <c r="AZ157" s="5">
        <f t="shared" si="133"/>
        <v>3759.76</v>
      </c>
      <c r="BA157" s="9" t="str">
        <f t="shared" si="134"/>
        <v/>
      </c>
    </row>
    <row r="158" spans="1:53" x14ac:dyDescent="0.25">
      <c r="A158" s="3" t="s">
        <v>107</v>
      </c>
      <c r="B158" s="5">
        <f>3506.45</f>
        <v>3506.45</v>
      </c>
      <c r="C158" s="4"/>
      <c r="D158" s="5">
        <f t="shared" si="108"/>
        <v>3506.45</v>
      </c>
      <c r="E158" s="9" t="str">
        <f t="shared" si="109"/>
        <v/>
      </c>
      <c r="F158" s="5">
        <f>73.54</f>
        <v>73.540000000000006</v>
      </c>
      <c r="G158" s="4"/>
      <c r="H158" s="5">
        <f t="shared" si="110"/>
        <v>73.540000000000006</v>
      </c>
      <c r="I158" s="9" t="str">
        <f t="shared" si="111"/>
        <v/>
      </c>
      <c r="J158" s="5">
        <f>67.47</f>
        <v>67.47</v>
      </c>
      <c r="K158" s="4"/>
      <c r="L158" s="5">
        <f t="shared" si="112"/>
        <v>67.47</v>
      </c>
      <c r="M158" s="9" t="str">
        <f t="shared" si="113"/>
        <v/>
      </c>
      <c r="N158" s="5">
        <f>10987.56</f>
        <v>10987.56</v>
      </c>
      <c r="O158" s="4"/>
      <c r="P158" s="5">
        <f t="shared" si="114"/>
        <v>10987.56</v>
      </c>
      <c r="Q158" s="9" t="str">
        <f t="shared" si="115"/>
        <v/>
      </c>
      <c r="R158" s="5">
        <f>74.22</f>
        <v>74.22</v>
      </c>
      <c r="S158" s="4"/>
      <c r="T158" s="5">
        <f t="shared" si="116"/>
        <v>74.22</v>
      </c>
      <c r="U158" s="9" t="str">
        <f t="shared" si="117"/>
        <v/>
      </c>
      <c r="V158" s="5">
        <f>67.47</f>
        <v>67.47</v>
      </c>
      <c r="W158" s="4"/>
      <c r="X158" s="5">
        <f t="shared" si="118"/>
        <v>67.47</v>
      </c>
      <c r="Y158" s="9" t="str">
        <f t="shared" si="119"/>
        <v/>
      </c>
      <c r="Z158" s="5">
        <f>74.22</f>
        <v>74.22</v>
      </c>
      <c r="AA158" s="4"/>
      <c r="AB158" s="5">
        <f t="shared" si="120"/>
        <v>74.22</v>
      </c>
      <c r="AC158" s="9" t="str">
        <f t="shared" si="121"/>
        <v/>
      </c>
      <c r="AD158" s="5">
        <f>141.69</f>
        <v>141.69</v>
      </c>
      <c r="AE158" s="4"/>
      <c r="AF158" s="5">
        <f t="shared" si="122"/>
        <v>141.69</v>
      </c>
      <c r="AG158" s="9" t="str">
        <f t="shared" si="123"/>
        <v/>
      </c>
      <c r="AH158" s="5">
        <f>1312.08</f>
        <v>1312.08</v>
      </c>
      <c r="AI158" s="4"/>
      <c r="AJ158" s="5">
        <f t="shared" si="124"/>
        <v>1312.08</v>
      </c>
      <c r="AK158" s="9" t="str">
        <f t="shared" si="125"/>
        <v/>
      </c>
      <c r="AL158" s="108">
        <f>5385.56</f>
        <v>5385.56</v>
      </c>
      <c r="AM158" s="107"/>
      <c r="AN158" s="108">
        <f t="shared" si="126"/>
        <v>5385.56</v>
      </c>
      <c r="AO158" s="109" t="str">
        <f t="shared" si="127"/>
        <v/>
      </c>
      <c r="AP158" s="4"/>
      <c r="AQ158" s="4"/>
      <c r="AR158" s="5">
        <f t="shared" si="128"/>
        <v>0</v>
      </c>
      <c r="AS158" s="9" t="str">
        <f t="shared" si="129"/>
        <v/>
      </c>
      <c r="AT158" s="4"/>
      <c r="AU158" s="4"/>
      <c r="AV158" s="5">
        <f t="shared" si="130"/>
        <v>0</v>
      </c>
      <c r="AW158" s="9" t="str">
        <f t="shared" si="131"/>
        <v/>
      </c>
      <c r="AX158" s="5">
        <f t="shared" si="132"/>
        <v>21690.26</v>
      </c>
      <c r="AY158" s="5">
        <v>0</v>
      </c>
      <c r="AZ158" s="5">
        <f t="shared" si="133"/>
        <v>21690.26</v>
      </c>
      <c r="BA158" s="9" t="str">
        <f t="shared" si="134"/>
        <v/>
      </c>
    </row>
    <row r="159" spans="1:53" x14ac:dyDescent="0.25">
      <c r="A159" s="3" t="s">
        <v>106</v>
      </c>
      <c r="B159" s="5">
        <f>775.75</f>
        <v>775.75</v>
      </c>
      <c r="C159" s="4"/>
      <c r="D159" s="5">
        <f t="shared" si="108"/>
        <v>775.75</v>
      </c>
      <c r="E159" s="9" t="str">
        <f t="shared" si="109"/>
        <v/>
      </c>
      <c r="F159" s="5">
        <f>698.88</f>
        <v>698.88</v>
      </c>
      <c r="G159" s="4"/>
      <c r="H159" s="5">
        <f t="shared" si="110"/>
        <v>698.88</v>
      </c>
      <c r="I159" s="9" t="str">
        <f t="shared" si="111"/>
        <v/>
      </c>
      <c r="J159" s="5">
        <f>698.88</f>
        <v>698.88</v>
      </c>
      <c r="K159" s="4"/>
      <c r="L159" s="5">
        <f t="shared" si="112"/>
        <v>698.88</v>
      </c>
      <c r="M159" s="9" t="str">
        <f t="shared" si="113"/>
        <v/>
      </c>
      <c r="N159" s="5">
        <f>698.88</f>
        <v>698.88</v>
      </c>
      <c r="O159" s="4"/>
      <c r="P159" s="5">
        <f t="shared" si="114"/>
        <v>698.88</v>
      </c>
      <c r="Q159" s="9" t="str">
        <f t="shared" si="115"/>
        <v/>
      </c>
      <c r="R159" s="5">
        <f>698.88</f>
        <v>698.88</v>
      </c>
      <c r="S159" s="4"/>
      <c r="T159" s="5">
        <f t="shared" si="116"/>
        <v>698.88</v>
      </c>
      <c r="U159" s="9" t="str">
        <f t="shared" si="117"/>
        <v/>
      </c>
      <c r="V159" s="5">
        <f>698.88</f>
        <v>698.88</v>
      </c>
      <c r="W159" s="4"/>
      <c r="X159" s="5">
        <f t="shared" si="118"/>
        <v>698.88</v>
      </c>
      <c r="Y159" s="9" t="str">
        <f t="shared" si="119"/>
        <v/>
      </c>
      <c r="Z159" s="5">
        <f>1125.19</f>
        <v>1125.19</v>
      </c>
      <c r="AA159" s="4"/>
      <c r="AB159" s="5">
        <f t="shared" si="120"/>
        <v>1125.19</v>
      </c>
      <c r="AC159" s="9" t="str">
        <f t="shared" si="121"/>
        <v/>
      </c>
      <c r="AD159" s="5">
        <f>2288.83</f>
        <v>2288.83</v>
      </c>
      <c r="AE159" s="4"/>
      <c r="AF159" s="5">
        <f t="shared" si="122"/>
        <v>2288.83</v>
      </c>
      <c r="AG159" s="9" t="str">
        <f t="shared" si="123"/>
        <v/>
      </c>
      <c r="AH159" s="4"/>
      <c r="AI159" s="4"/>
      <c r="AJ159" s="5">
        <f t="shared" si="124"/>
        <v>0</v>
      </c>
      <c r="AK159" s="9" t="str">
        <f t="shared" si="125"/>
        <v/>
      </c>
      <c r="AL159" s="108">
        <f>1091</f>
        <v>1091</v>
      </c>
      <c r="AM159" s="107"/>
      <c r="AN159" s="108">
        <f t="shared" si="126"/>
        <v>1091</v>
      </c>
      <c r="AO159" s="109" t="str">
        <f t="shared" si="127"/>
        <v/>
      </c>
      <c r="AP159" s="4"/>
      <c r="AQ159" s="4"/>
      <c r="AR159" s="5">
        <f t="shared" si="128"/>
        <v>0</v>
      </c>
      <c r="AS159" s="9" t="str">
        <f t="shared" si="129"/>
        <v/>
      </c>
      <c r="AT159" s="4"/>
      <c r="AU159" s="4"/>
      <c r="AV159" s="5">
        <f t="shared" si="130"/>
        <v>0</v>
      </c>
      <c r="AW159" s="9" t="str">
        <f t="shared" si="131"/>
        <v/>
      </c>
      <c r="AX159" s="5">
        <f t="shared" si="132"/>
        <v>8775.17</v>
      </c>
      <c r="AY159" s="5">
        <v>0</v>
      </c>
      <c r="AZ159" s="5">
        <f t="shared" si="133"/>
        <v>8775.17</v>
      </c>
      <c r="BA159" s="9" t="str">
        <f t="shared" si="134"/>
        <v/>
      </c>
    </row>
    <row r="160" spans="1:53" x14ac:dyDescent="0.25">
      <c r="A160" s="3" t="s">
        <v>105</v>
      </c>
      <c r="B160" s="5">
        <f>500</f>
        <v>500</v>
      </c>
      <c r="C160" s="5">
        <f>10833.33</f>
        <v>10833.33</v>
      </c>
      <c r="D160" s="5">
        <f t="shared" si="108"/>
        <v>-10333.33</v>
      </c>
      <c r="E160" s="9">
        <f t="shared" si="109"/>
        <v>4.6153860355033959E-2</v>
      </c>
      <c r="F160" s="5">
        <f>8405.88</f>
        <v>8405.8799999999992</v>
      </c>
      <c r="G160" s="5">
        <f>10833.33</f>
        <v>10833.33</v>
      </c>
      <c r="H160" s="5">
        <f t="shared" si="110"/>
        <v>-2427.4500000000007</v>
      </c>
      <c r="I160" s="9">
        <f t="shared" si="111"/>
        <v>0.77592762336234555</v>
      </c>
      <c r="J160" s="5">
        <f>6161.36</f>
        <v>6161.36</v>
      </c>
      <c r="K160" s="5">
        <f>10833.33</f>
        <v>10833.33</v>
      </c>
      <c r="L160" s="5">
        <f t="shared" si="112"/>
        <v>-4671.97</v>
      </c>
      <c r="M160" s="9">
        <f t="shared" si="113"/>
        <v>0.56874109807418405</v>
      </c>
      <c r="N160" s="5">
        <f>235</f>
        <v>235</v>
      </c>
      <c r="O160" s="5">
        <f>10833.33</f>
        <v>10833.33</v>
      </c>
      <c r="P160" s="5">
        <f t="shared" si="114"/>
        <v>-10598.33</v>
      </c>
      <c r="Q160" s="9">
        <f t="shared" si="115"/>
        <v>2.1692314366865958E-2</v>
      </c>
      <c r="R160" s="5">
        <f>5629.1</f>
        <v>5629.1</v>
      </c>
      <c r="S160" s="5">
        <f>10833.33</f>
        <v>10833.33</v>
      </c>
      <c r="T160" s="5">
        <f t="shared" si="116"/>
        <v>-5204.2299999999996</v>
      </c>
      <c r="U160" s="9">
        <f t="shared" si="117"/>
        <v>0.51960939064904332</v>
      </c>
      <c r="V160" s="5">
        <f>2692.24</f>
        <v>2692.24</v>
      </c>
      <c r="W160" s="5">
        <f>10833.33</f>
        <v>10833.33</v>
      </c>
      <c r="X160" s="5">
        <f t="shared" si="118"/>
        <v>-8141.09</v>
      </c>
      <c r="Y160" s="9">
        <f t="shared" si="119"/>
        <v>0.24851453800447321</v>
      </c>
      <c r="Z160" s="5">
        <f>9649.68</f>
        <v>9649.68</v>
      </c>
      <c r="AA160" s="5">
        <f>10833.33</f>
        <v>10833.33</v>
      </c>
      <c r="AB160" s="5">
        <f t="shared" si="120"/>
        <v>-1183.6499999999996</v>
      </c>
      <c r="AC160" s="9">
        <f t="shared" si="121"/>
        <v>0.89073996638152819</v>
      </c>
      <c r="AD160" s="5">
        <f>1651.08</f>
        <v>1651.08</v>
      </c>
      <c r="AE160" s="5">
        <f>10833.33</f>
        <v>10833.33</v>
      </c>
      <c r="AF160" s="5">
        <f t="shared" si="122"/>
        <v>-9182.25</v>
      </c>
      <c r="AG160" s="9">
        <f t="shared" si="123"/>
        <v>0.15240743150997893</v>
      </c>
      <c r="AH160" s="5">
        <f>1524</f>
        <v>1524</v>
      </c>
      <c r="AI160" s="5">
        <f>10833.33</f>
        <v>10833.33</v>
      </c>
      <c r="AJ160" s="5">
        <f t="shared" si="124"/>
        <v>-9309.33</v>
      </c>
      <c r="AK160" s="9">
        <f t="shared" si="125"/>
        <v>0.1406769663621435</v>
      </c>
      <c r="AL160" s="108">
        <f>2793.83</f>
        <v>2793.83</v>
      </c>
      <c r="AM160" s="108">
        <f>10833.33</f>
        <v>10833.33</v>
      </c>
      <c r="AN160" s="108">
        <f t="shared" si="126"/>
        <v>-8039.5</v>
      </c>
      <c r="AO160" s="109">
        <f t="shared" si="127"/>
        <v>0.25789207935140901</v>
      </c>
      <c r="AP160" s="4"/>
      <c r="AQ160" s="5">
        <f>10833.33</f>
        <v>10833.33</v>
      </c>
      <c r="AR160" s="5">
        <f t="shared" si="128"/>
        <v>-10833.33</v>
      </c>
      <c r="AS160" s="9">
        <f t="shared" si="129"/>
        <v>0</v>
      </c>
      <c r="AT160" s="4"/>
      <c r="AU160" s="5">
        <f>10833.37</f>
        <v>10833.37</v>
      </c>
      <c r="AV160" s="5">
        <f t="shared" si="130"/>
        <v>-10833.37</v>
      </c>
      <c r="AW160" s="9">
        <f t="shared" si="131"/>
        <v>0</v>
      </c>
      <c r="AX160" s="5">
        <f t="shared" si="132"/>
        <v>39242.17</v>
      </c>
      <c r="AY160" s="5">
        <v>130000</v>
      </c>
      <c r="AZ160" s="5">
        <f t="shared" si="133"/>
        <v>-90757.83</v>
      </c>
      <c r="BA160" s="9">
        <f t="shared" si="134"/>
        <v>0.30186284615384612</v>
      </c>
    </row>
    <row r="161" spans="1:53" x14ac:dyDescent="0.25">
      <c r="A161" s="3" t="s">
        <v>104</v>
      </c>
      <c r="B161" s="5">
        <f>5683.69</f>
        <v>5683.69</v>
      </c>
      <c r="C161" s="5">
        <f>0</f>
        <v>0</v>
      </c>
      <c r="D161" s="5">
        <f t="shared" si="108"/>
        <v>5683.69</v>
      </c>
      <c r="E161" s="9" t="str">
        <f t="shared" si="109"/>
        <v/>
      </c>
      <c r="F161" s="5">
        <f>2504.33</f>
        <v>2504.33</v>
      </c>
      <c r="G161" s="5">
        <f>0</f>
        <v>0</v>
      </c>
      <c r="H161" s="5">
        <f t="shared" si="110"/>
        <v>2504.33</v>
      </c>
      <c r="I161" s="9" t="str">
        <f t="shared" si="111"/>
        <v/>
      </c>
      <c r="J161" s="5">
        <f>24175</f>
        <v>24175</v>
      </c>
      <c r="K161" s="5">
        <f>0</f>
        <v>0</v>
      </c>
      <c r="L161" s="5">
        <f t="shared" si="112"/>
        <v>24175</v>
      </c>
      <c r="M161" s="9" t="str">
        <f t="shared" si="113"/>
        <v/>
      </c>
      <c r="N161" s="5">
        <f>4245.07</f>
        <v>4245.07</v>
      </c>
      <c r="O161" s="5">
        <f>0</f>
        <v>0</v>
      </c>
      <c r="P161" s="5">
        <f t="shared" si="114"/>
        <v>4245.07</v>
      </c>
      <c r="Q161" s="9" t="str">
        <f t="shared" si="115"/>
        <v/>
      </c>
      <c r="R161" s="5">
        <f>528.4</f>
        <v>528.4</v>
      </c>
      <c r="S161" s="5">
        <f>0</f>
        <v>0</v>
      </c>
      <c r="T161" s="5">
        <f t="shared" si="116"/>
        <v>528.4</v>
      </c>
      <c r="U161" s="9" t="str">
        <f t="shared" si="117"/>
        <v/>
      </c>
      <c r="V161" s="5">
        <f>1577.95</f>
        <v>1577.95</v>
      </c>
      <c r="W161" s="5">
        <f>0</f>
        <v>0</v>
      </c>
      <c r="X161" s="5">
        <f t="shared" si="118"/>
        <v>1577.95</v>
      </c>
      <c r="Y161" s="9" t="str">
        <f t="shared" si="119"/>
        <v/>
      </c>
      <c r="Z161" s="5">
        <f>2427</f>
        <v>2427</v>
      </c>
      <c r="AA161" s="5">
        <f>0</f>
        <v>0</v>
      </c>
      <c r="AB161" s="5">
        <f t="shared" si="120"/>
        <v>2427</v>
      </c>
      <c r="AC161" s="9" t="str">
        <f t="shared" si="121"/>
        <v/>
      </c>
      <c r="AD161" s="5">
        <f>900</f>
        <v>900</v>
      </c>
      <c r="AE161" s="5">
        <f>26400</f>
        <v>26400</v>
      </c>
      <c r="AF161" s="5">
        <f t="shared" si="122"/>
        <v>-25500</v>
      </c>
      <c r="AG161" s="9">
        <f t="shared" si="123"/>
        <v>3.4090909090909088E-2</v>
      </c>
      <c r="AH161" s="5">
        <f>5227.89</f>
        <v>5227.8900000000003</v>
      </c>
      <c r="AI161" s="5">
        <f>26400</f>
        <v>26400</v>
      </c>
      <c r="AJ161" s="5">
        <f t="shared" si="124"/>
        <v>-21172.11</v>
      </c>
      <c r="AK161" s="9">
        <f t="shared" si="125"/>
        <v>0.19802613636363636</v>
      </c>
      <c r="AL161" s="107"/>
      <c r="AM161" s="108">
        <f>26400</f>
        <v>26400</v>
      </c>
      <c r="AN161" s="108">
        <f t="shared" si="126"/>
        <v>-26400</v>
      </c>
      <c r="AO161" s="109">
        <f t="shared" si="127"/>
        <v>0</v>
      </c>
      <c r="AP161" s="4"/>
      <c r="AQ161" s="5">
        <f>26400</f>
        <v>26400</v>
      </c>
      <c r="AR161" s="5">
        <f t="shared" si="128"/>
        <v>-26400</v>
      </c>
      <c r="AS161" s="9">
        <f t="shared" si="129"/>
        <v>0</v>
      </c>
      <c r="AT161" s="4"/>
      <c r="AU161" s="5">
        <f>26400</f>
        <v>26400</v>
      </c>
      <c r="AV161" s="5">
        <f t="shared" si="130"/>
        <v>-26400</v>
      </c>
      <c r="AW161" s="9">
        <f t="shared" si="131"/>
        <v>0</v>
      </c>
      <c r="AX161" s="5">
        <f t="shared" si="132"/>
        <v>47269.329999999994</v>
      </c>
      <c r="AY161" s="5">
        <v>132000</v>
      </c>
      <c r="AZ161" s="5">
        <f t="shared" si="133"/>
        <v>-84730.670000000013</v>
      </c>
      <c r="BA161" s="9">
        <f t="shared" si="134"/>
        <v>0.35810098484848479</v>
      </c>
    </row>
    <row r="162" spans="1:53" x14ac:dyDescent="0.25">
      <c r="A162" s="3" t="s">
        <v>103</v>
      </c>
      <c r="B162" s="5">
        <f>15375.11</f>
        <v>15375.11</v>
      </c>
      <c r="C162" s="5">
        <f>0</f>
        <v>0</v>
      </c>
      <c r="D162" s="5">
        <f t="shared" si="108"/>
        <v>15375.11</v>
      </c>
      <c r="E162" s="9" t="str">
        <f t="shared" si="109"/>
        <v/>
      </c>
      <c r="F162" s="5">
        <f>600.25</f>
        <v>600.25</v>
      </c>
      <c r="G162" s="5">
        <f>0</f>
        <v>0</v>
      </c>
      <c r="H162" s="5">
        <f t="shared" si="110"/>
        <v>600.25</v>
      </c>
      <c r="I162" s="9" t="str">
        <f t="shared" si="111"/>
        <v/>
      </c>
      <c r="J162" s="5">
        <f>2517.92</f>
        <v>2517.92</v>
      </c>
      <c r="K162" s="5">
        <f>0</f>
        <v>0</v>
      </c>
      <c r="L162" s="5">
        <f t="shared" si="112"/>
        <v>2517.92</v>
      </c>
      <c r="M162" s="9" t="str">
        <f t="shared" si="113"/>
        <v/>
      </c>
      <c r="N162" s="5">
        <f>2825</f>
        <v>2825</v>
      </c>
      <c r="O162" s="5">
        <f>0</f>
        <v>0</v>
      </c>
      <c r="P162" s="5">
        <f t="shared" si="114"/>
        <v>2825</v>
      </c>
      <c r="Q162" s="9" t="str">
        <f t="shared" si="115"/>
        <v/>
      </c>
      <c r="R162" s="5">
        <f>0</f>
        <v>0</v>
      </c>
      <c r="S162" s="5">
        <f>0</f>
        <v>0</v>
      </c>
      <c r="T162" s="5">
        <f t="shared" si="116"/>
        <v>0</v>
      </c>
      <c r="U162" s="9" t="str">
        <f t="shared" si="117"/>
        <v/>
      </c>
      <c r="V162" s="5">
        <f>1952</f>
        <v>1952</v>
      </c>
      <c r="W162" s="5">
        <f>0</f>
        <v>0</v>
      </c>
      <c r="X162" s="5">
        <f t="shared" si="118"/>
        <v>1952</v>
      </c>
      <c r="Y162" s="9" t="str">
        <f t="shared" si="119"/>
        <v/>
      </c>
      <c r="Z162" s="5">
        <f>13587</f>
        <v>13587</v>
      </c>
      <c r="AA162" s="5">
        <f>0</f>
        <v>0</v>
      </c>
      <c r="AB162" s="5">
        <f t="shared" si="120"/>
        <v>13587</v>
      </c>
      <c r="AC162" s="9" t="str">
        <f t="shared" si="121"/>
        <v/>
      </c>
      <c r="AD162" s="4"/>
      <c r="AE162" s="5">
        <f>5600</f>
        <v>5600</v>
      </c>
      <c r="AF162" s="5">
        <f t="shared" si="122"/>
        <v>-5600</v>
      </c>
      <c r="AG162" s="9">
        <f t="shared" si="123"/>
        <v>0</v>
      </c>
      <c r="AH162" s="4"/>
      <c r="AI162" s="5">
        <f>5600</f>
        <v>5600</v>
      </c>
      <c r="AJ162" s="5">
        <f t="shared" si="124"/>
        <v>-5600</v>
      </c>
      <c r="AK162" s="9">
        <f t="shared" si="125"/>
        <v>0</v>
      </c>
      <c r="AL162" s="107"/>
      <c r="AM162" s="108">
        <f>5600</f>
        <v>5600</v>
      </c>
      <c r="AN162" s="108">
        <f t="shared" si="126"/>
        <v>-5600</v>
      </c>
      <c r="AO162" s="109">
        <f t="shared" si="127"/>
        <v>0</v>
      </c>
      <c r="AP162" s="4"/>
      <c r="AQ162" s="5">
        <f>5600</f>
        <v>5600</v>
      </c>
      <c r="AR162" s="5">
        <f t="shared" si="128"/>
        <v>-5600</v>
      </c>
      <c r="AS162" s="9">
        <f t="shared" si="129"/>
        <v>0</v>
      </c>
      <c r="AT162" s="4"/>
      <c r="AU162" s="5">
        <f>5600</f>
        <v>5600</v>
      </c>
      <c r="AV162" s="5">
        <f t="shared" si="130"/>
        <v>-5600</v>
      </c>
      <c r="AW162" s="9">
        <f t="shared" si="131"/>
        <v>0</v>
      </c>
      <c r="AX162" s="5">
        <f t="shared" si="132"/>
        <v>36857.279999999999</v>
      </c>
      <c r="AY162" s="5">
        <v>28000</v>
      </c>
      <c r="AZ162" s="5">
        <f t="shared" si="133"/>
        <v>8857.2799999999988</v>
      </c>
      <c r="BA162" s="9">
        <f t="shared" si="134"/>
        <v>1.3163314285714285</v>
      </c>
    </row>
    <row r="163" spans="1:53" x14ac:dyDescent="0.25">
      <c r="A163" s="3" t="s">
        <v>102</v>
      </c>
      <c r="B163" s="4"/>
      <c r="C163" s="5">
        <f>3109.5</f>
        <v>3109.5</v>
      </c>
      <c r="D163" s="5">
        <f t="shared" si="108"/>
        <v>-3109.5</v>
      </c>
      <c r="E163" s="9">
        <f t="shared" si="109"/>
        <v>0</v>
      </c>
      <c r="F163" s="4"/>
      <c r="G163" s="5">
        <f>3109.5</f>
        <v>3109.5</v>
      </c>
      <c r="H163" s="5">
        <f t="shared" si="110"/>
        <v>-3109.5</v>
      </c>
      <c r="I163" s="9">
        <f t="shared" si="111"/>
        <v>0</v>
      </c>
      <c r="J163" s="4"/>
      <c r="K163" s="5">
        <f>3109.5</f>
        <v>3109.5</v>
      </c>
      <c r="L163" s="5">
        <f t="shared" si="112"/>
        <v>-3109.5</v>
      </c>
      <c r="M163" s="9">
        <f t="shared" si="113"/>
        <v>0</v>
      </c>
      <c r="N163" s="4"/>
      <c r="O163" s="5">
        <f>3109.5</f>
        <v>3109.5</v>
      </c>
      <c r="P163" s="5">
        <f t="shared" si="114"/>
        <v>-3109.5</v>
      </c>
      <c r="Q163" s="9">
        <f t="shared" si="115"/>
        <v>0</v>
      </c>
      <c r="R163" s="4"/>
      <c r="S163" s="5">
        <f>3109.5</f>
        <v>3109.5</v>
      </c>
      <c r="T163" s="5">
        <f t="shared" si="116"/>
        <v>-3109.5</v>
      </c>
      <c r="U163" s="9">
        <f t="shared" si="117"/>
        <v>0</v>
      </c>
      <c r="V163" s="4"/>
      <c r="W163" s="5">
        <f>3109.5</f>
        <v>3109.5</v>
      </c>
      <c r="X163" s="5">
        <f t="shared" si="118"/>
        <v>-3109.5</v>
      </c>
      <c r="Y163" s="9">
        <f t="shared" si="119"/>
        <v>0</v>
      </c>
      <c r="Z163" s="4"/>
      <c r="AA163" s="5">
        <f>3109.5</f>
        <v>3109.5</v>
      </c>
      <c r="AB163" s="5">
        <f t="shared" si="120"/>
        <v>-3109.5</v>
      </c>
      <c r="AC163" s="9">
        <f t="shared" si="121"/>
        <v>0</v>
      </c>
      <c r="AD163" s="4"/>
      <c r="AE163" s="5">
        <f>3109.5</f>
        <v>3109.5</v>
      </c>
      <c r="AF163" s="5">
        <f t="shared" si="122"/>
        <v>-3109.5</v>
      </c>
      <c r="AG163" s="9">
        <f t="shared" si="123"/>
        <v>0</v>
      </c>
      <c r="AH163" s="4"/>
      <c r="AI163" s="5">
        <f>3109.5</f>
        <v>3109.5</v>
      </c>
      <c r="AJ163" s="5">
        <f t="shared" si="124"/>
        <v>-3109.5</v>
      </c>
      <c r="AK163" s="9">
        <f t="shared" si="125"/>
        <v>0</v>
      </c>
      <c r="AL163" s="107"/>
      <c r="AM163" s="108">
        <f>3109.5</f>
        <v>3109.5</v>
      </c>
      <c r="AN163" s="108">
        <f t="shared" si="126"/>
        <v>-3109.5</v>
      </c>
      <c r="AO163" s="109">
        <f t="shared" si="127"/>
        <v>0</v>
      </c>
      <c r="AP163" s="4"/>
      <c r="AQ163" s="5">
        <f>3109.5</f>
        <v>3109.5</v>
      </c>
      <c r="AR163" s="5">
        <f t="shared" si="128"/>
        <v>-3109.5</v>
      </c>
      <c r="AS163" s="9">
        <f t="shared" si="129"/>
        <v>0</v>
      </c>
      <c r="AT163" s="4"/>
      <c r="AU163" s="5">
        <f>3109.5</f>
        <v>3109.5</v>
      </c>
      <c r="AV163" s="5">
        <f t="shared" si="130"/>
        <v>-3109.5</v>
      </c>
      <c r="AW163" s="9">
        <f t="shared" si="131"/>
        <v>0</v>
      </c>
      <c r="AX163" s="5">
        <f t="shared" si="132"/>
        <v>0</v>
      </c>
      <c r="AY163" s="5">
        <v>37314</v>
      </c>
      <c r="AZ163" s="5">
        <f t="shared" si="133"/>
        <v>-37314</v>
      </c>
      <c r="BA163" s="9">
        <f t="shared" si="134"/>
        <v>0</v>
      </c>
    </row>
    <row r="164" spans="1:53" x14ac:dyDescent="0.25">
      <c r="A164" s="3" t="s">
        <v>101</v>
      </c>
      <c r="B164" s="7">
        <f>(((B160)+(B161))+(B162))+(B163)</f>
        <v>21558.799999999999</v>
      </c>
      <c r="C164" s="7">
        <f>(((C160)+(C161))+(C162))+(C163)</f>
        <v>13942.83</v>
      </c>
      <c r="D164" s="7">
        <f t="shared" ref="D164:D195" si="135">(B164)-(C164)</f>
        <v>7615.9699999999993</v>
      </c>
      <c r="E164" s="8">
        <f t="shared" ref="E164:E198" si="136">IF(C164=0,"",(B164)/(C164))</f>
        <v>1.546228419911883</v>
      </c>
      <c r="F164" s="7">
        <f>(((F160)+(F161))+(F162))+(F163)</f>
        <v>11510.46</v>
      </c>
      <c r="G164" s="7">
        <f>(((G160)+(G161))+(G162))+(G163)</f>
        <v>13942.83</v>
      </c>
      <c r="H164" s="7">
        <f t="shared" ref="H164:H195" si="137">(F164)-(G164)</f>
        <v>-2432.3700000000008</v>
      </c>
      <c r="I164" s="8">
        <f t="shared" ref="I164:I198" si="138">IF(G164=0,"",(F164)/(G164))</f>
        <v>0.82554689399497805</v>
      </c>
      <c r="J164" s="7">
        <f>(((J160)+(J161))+(J162))+(J163)</f>
        <v>32854.28</v>
      </c>
      <c r="K164" s="7">
        <f>(((K160)+(K161))+(K162))+(K163)</f>
        <v>13942.83</v>
      </c>
      <c r="L164" s="7">
        <f t="shared" ref="L164:L195" si="139">(J164)-(K164)</f>
        <v>18911.449999999997</v>
      </c>
      <c r="M164" s="8">
        <f t="shared" ref="M164:M198" si="140">IF(K164=0,"",(J164)/(K164))</f>
        <v>2.356356636350009</v>
      </c>
      <c r="N164" s="7">
        <f>(((N160)+(N161))+(N162))+(N163)</f>
        <v>7305.07</v>
      </c>
      <c r="O164" s="7">
        <f>(((O160)+(O161))+(O162))+(O163)</f>
        <v>13942.83</v>
      </c>
      <c r="P164" s="7">
        <f t="shared" ref="P164:P195" si="141">(N164)-(O164)</f>
        <v>-6637.76</v>
      </c>
      <c r="Q164" s="8">
        <f t="shared" ref="Q164:Q198" si="142">IF(O164=0,"",(N164)/(O164))</f>
        <v>0.52393022076579865</v>
      </c>
      <c r="R164" s="7">
        <f>(((R160)+(R161))+(R162))+(R163)</f>
        <v>6157.5</v>
      </c>
      <c r="S164" s="7">
        <f>(((S160)+(S161))+(S162))+(S163)</f>
        <v>13942.83</v>
      </c>
      <c r="T164" s="7">
        <f t="shared" ref="T164:T195" si="143">(R164)-(S164)</f>
        <v>-7785.33</v>
      </c>
      <c r="U164" s="8">
        <f t="shared" ref="U164:U198" si="144">IF(S164=0,"",(R164)/(S164))</f>
        <v>0.44162483513031431</v>
      </c>
      <c r="V164" s="7">
        <f>(((V160)+(V161))+(V162))+(V163)</f>
        <v>6222.19</v>
      </c>
      <c r="W164" s="7">
        <f>(((W160)+(W161))+(W162))+(W163)</f>
        <v>13942.83</v>
      </c>
      <c r="X164" s="7">
        <f t="shared" ref="X164:X195" si="145">(V164)-(W164)</f>
        <v>-7720.64</v>
      </c>
      <c r="Y164" s="8">
        <f t="shared" ref="Y164:Y198" si="146">IF(W164=0,"",(V164)/(W164))</f>
        <v>0.44626449580178484</v>
      </c>
      <c r="Z164" s="7">
        <f>(((Z160)+(Z161))+(Z162))+(Z163)</f>
        <v>25663.68</v>
      </c>
      <c r="AA164" s="7">
        <f>(((AA160)+(AA161))+(AA162))+(AA163)</f>
        <v>13942.83</v>
      </c>
      <c r="AB164" s="7">
        <f t="shared" ref="AB164:AB195" si="147">(Z164)-(AA164)</f>
        <v>11720.85</v>
      </c>
      <c r="AC164" s="8">
        <f t="shared" ref="AC164:AC198" si="148">IF(AA164=0,"",(Z164)/(AA164))</f>
        <v>1.8406363700912942</v>
      </c>
      <c r="AD164" s="7">
        <f>(((AD160)+(AD161))+(AD162))+(AD163)</f>
        <v>2551.08</v>
      </c>
      <c r="AE164" s="7">
        <f>(((AE160)+(AE161))+(AE162))+(AE163)</f>
        <v>45942.83</v>
      </c>
      <c r="AF164" s="7">
        <f t="shared" ref="AF164:AF195" si="149">(AD164)-(AE164)</f>
        <v>-43391.75</v>
      </c>
      <c r="AG164" s="8">
        <f t="shared" ref="AG164:AG198" si="150">IF(AE164=0,"",(AD164)/(AE164))</f>
        <v>5.5527271611261211E-2</v>
      </c>
      <c r="AH164" s="7">
        <f>(((AH160)+(AH161))+(AH162))+(AH163)</f>
        <v>6751.89</v>
      </c>
      <c r="AI164" s="7">
        <f>(((AI160)+(AI161))+(AI162))+(AI163)</f>
        <v>45942.83</v>
      </c>
      <c r="AJ164" s="7">
        <f t="shared" ref="AJ164:AJ195" si="151">(AH164)-(AI164)</f>
        <v>-39190.94</v>
      </c>
      <c r="AK164" s="8">
        <f t="shared" ref="AK164:AK198" si="152">IF(AI164=0,"",(AH164)/(AI164))</f>
        <v>0.14696286667582298</v>
      </c>
      <c r="AL164" s="110">
        <f>(((AL160)+(AL161))+(AL162))+(AL163)</f>
        <v>2793.83</v>
      </c>
      <c r="AM164" s="110">
        <f>(((AM160)+(AM161))+(AM162))+(AM163)</f>
        <v>45942.83</v>
      </c>
      <c r="AN164" s="110">
        <f t="shared" ref="AN164:AN195" si="153">(AL164)-(AM164)</f>
        <v>-43149</v>
      </c>
      <c r="AO164" s="111">
        <f t="shared" ref="AO164:AO198" si="154">IF(AM164=0,"",(AL164)/(AM164))</f>
        <v>6.0811012295063228E-2</v>
      </c>
      <c r="AP164" s="7">
        <f>(((AP160)+(AP161))+(AP162))+(AP163)</f>
        <v>0</v>
      </c>
      <c r="AQ164" s="7">
        <f>(((AQ160)+(AQ161))+(AQ162))+(AQ163)</f>
        <v>45942.83</v>
      </c>
      <c r="AR164" s="7">
        <f t="shared" ref="AR164:AR195" si="155">(AP164)-(AQ164)</f>
        <v>-45942.83</v>
      </c>
      <c r="AS164" s="8">
        <f t="shared" ref="AS164:AS198" si="156">IF(AQ164=0,"",(AP164)/(AQ164))</f>
        <v>0</v>
      </c>
      <c r="AT164" s="7">
        <f>(((AT160)+(AT161))+(AT162))+(AT163)</f>
        <v>0</v>
      </c>
      <c r="AU164" s="7">
        <f>(((AU160)+(AU161))+(AU162))+(AU163)</f>
        <v>45942.87</v>
      </c>
      <c r="AV164" s="7">
        <f t="shared" ref="AV164:AV195" si="157">(AT164)-(AU164)</f>
        <v>-45942.87</v>
      </c>
      <c r="AW164" s="8">
        <f t="shared" ref="AW164:AW198" si="158">IF(AU164=0,"",(AT164)/(AU164))</f>
        <v>0</v>
      </c>
      <c r="AX164" s="7">
        <f t="shared" ref="AX164:AX198" si="159">(((((((((((B164)+(F164))+(J164))+(N164))+(R164))+(V164))+(Z164))+(AD164))+(AH164))+(AL164))+(AP164))+(AT164)</f>
        <v>123368.77999999998</v>
      </c>
      <c r="AY164" s="7">
        <v>327314.00000000006</v>
      </c>
      <c r="AZ164" s="7">
        <f t="shared" ref="AZ164:AZ195" si="160">(AX164)-(AY164)</f>
        <v>-203945.22000000009</v>
      </c>
      <c r="BA164" s="8">
        <f t="shared" ref="BA164:BA198" si="161">IF(AY164=0,"",(AX164)/(AY164))</f>
        <v>0.37691262824077176</v>
      </c>
    </row>
    <row r="165" spans="1:53" x14ac:dyDescent="0.25">
      <c r="A165" s="3" t="s">
        <v>100</v>
      </c>
      <c r="B165" s="4"/>
      <c r="C165" s="5">
        <f>1919</f>
        <v>1919</v>
      </c>
      <c r="D165" s="5">
        <f t="shared" si="135"/>
        <v>-1919</v>
      </c>
      <c r="E165" s="9">
        <f t="shared" si="136"/>
        <v>0</v>
      </c>
      <c r="F165" s="4"/>
      <c r="G165" s="5">
        <f>1919</f>
        <v>1919</v>
      </c>
      <c r="H165" s="5">
        <f t="shared" si="137"/>
        <v>-1919</v>
      </c>
      <c r="I165" s="9">
        <f t="shared" si="138"/>
        <v>0</v>
      </c>
      <c r="J165" s="4"/>
      <c r="K165" s="5">
        <f>1919</f>
        <v>1919</v>
      </c>
      <c r="L165" s="5">
        <f t="shared" si="139"/>
        <v>-1919</v>
      </c>
      <c r="M165" s="9">
        <f t="shared" si="140"/>
        <v>0</v>
      </c>
      <c r="N165" s="4"/>
      <c r="O165" s="5">
        <f>1919</f>
        <v>1919</v>
      </c>
      <c r="P165" s="5">
        <f t="shared" si="141"/>
        <v>-1919</v>
      </c>
      <c r="Q165" s="9">
        <f t="shared" si="142"/>
        <v>0</v>
      </c>
      <c r="R165" s="4"/>
      <c r="S165" s="5">
        <f>1919</f>
        <v>1919</v>
      </c>
      <c r="T165" s="5">
        <f t="shared" si="143"/>
        <v>-1919</v>
      </c>
      <c r="U165" s="9">
        <f t="shared" si="144"/>
        <v>0</v>
      </c>
      <c r="V165" s="4"/>
      <c r="W165" s="5">
        <f>1919</f>
        <v>1919</v>
      </c>
      <c r="X165" s="5">
        <f t="shared" si="145"/>
        <v>-1919</v>
      </c>
      <c r="Y165" s="9">
        <f t="shared" si="146"/>
        <v>0</v>
      </c>
      <c r="Z165" s="5">
        <f>1919</f>
        <v>1919</v>
      </c>
      <c r="AA165" s="5">
        <f>0</f>
        <v>0</v>
      </c>
      <c r="AB165" s="5">
        <f t="shared" si="147"/>
        <v>1919</v>
      </c>
      <c r="AC165" s="9" t="str">
        <f t="shared" si="148"/>
        <v/>
      </c>
      <c r="AD165" s="5">
        <f>1919</f>
        <v>1919</v>
      </c>
      <c r="AE165" s="5">
        <f>1919</f>
        <v>1919</v>
      </c>
      <c r="AF165" s="5">
        <f t="shared" si="149"/>
        <v>0</v>
      </c>
      <c r="AG165" s="9">
        <f t="shared" si="150"/>
        <v>1</v>
      </c>
      <c r="AH165" s="5">
        <f>1919</f>
        <v>1919</v>
      </c>
      <c r="AI165" s="5">
        <f>1919</f>
        <v>1919</v>
      </c>
      <c r="AJ165" s="5">
        <f t="shared" si="151"/>
        <v>0</v>
      </c>
      <c r="AK165" s="9">
        <f t="shared" si="152"/>
        <v>1</v>
      </c>
      <c r="AL165" s="108">
        <f>1919</f>
        <v>1919</v>
      </c>
      <c r="AM165" s="108">
        <f>1919</f>
        <v>1919</v>
      </c>
      <c r="AN165" s="108">
        <f t="shared" si="153"/>
        <v>0</v>
      </c>
      <c r="AO165" s="109">
        <f t="shared" si="154"/>
        <v>1</v>
      </c>
      <c r="AP165" s="5">
        <f>1919</f>
        <v>1919</v>
      </c>
      <c r="AQ165" s="5">
        <f>1919</f>
        <v>1919</v>
      </c>
      <c r="AR165" s="5">
        <f t="shared" si="155"/>
        <v>0</v>
      </c>
      <c r="AS165" s="9">
        <f t="shared" si="156"/>
        <v>1</v>
      </c>
      <c r="AT165" s="5">
        <f>1919</f>
        <v>1919</v>
      </c>
      <c r="AU165" s="5">
        <f>1919</f>
        <v>1919</v>
      </c>
      <c r="AV165" s="5">
        <f t="shared" si="157"/>
        <v>0</v>
      </c>
      <c r="AW165" s="9">
        <f t="shared" si="158"/>
        <v>1</v>
      </c>
      <c r="AX165" s="5">
        <f t="shared" si="159"/>
        <v>11514</v>
      </c>
      <c r="AY165" s="5">
        <v>21109</v>
      </c>
      <c r="AZ165" s="5">
        <f t="shared" si="160"/>
        <v>-9595</v>
      </c>
      <c r="BA165" s="9">
        <f t="shared" si="161"/>
        <v>0.54545454545454541</v>
      </c>
    </row>
    <row r="166" spans="1:53" x14ac:dyDescent="0.25">
      <c r="A166" s="3" t="s">
        <v>99</v>
      </c>
      <c r="B166" s="5">
        <f>600</f>
        <v>600</v>
      </c>
      <c r="C166" s="4"/>
      <c r="D166" s="5">
        <f t="shared" si="135"/>
        <v>600</v>
      </c>
      <c r="E166" s="9" t="str">
        <f t="shared" si="136"/>
        <v/>
      </c>
      <c r="F166" s="4"/>
      <c r="G166" s="4"/>
      <c r="H166" s="5">
        <f t="shared" si="137"/>
        <v>0</v>
      </c>
      <c r="I166" s="9" t="str">
        <f t="shared" si="138"/>
        <v/>
      </c>
      <c r="J166" s="4"/>
      <c r="K166" s="4"/>
      <c r="L166" s="5">
        <f t="shared" si="139"/>
        <v>0</v>
      </c>
      <c r="M166" s="9" t="str">
        <f t="shared" si="140"/>
        <v/>
      </c>
      <c r="N166" s="4"/>
      <c r="O166" s="4"/>
      <c r="P166" s="5">
        <f t="shared" si="141"/>
        <v>0</v>
      </c>
      <c r="Q166" s="9" t="str">
        <f t="shared" si="142"/>
        <v/>
      </c>
      <c r="R166" s="4"/>
      <c r="S166" s="4"/>
      <c r="T166" s="5">
        <f t="shared" si="143"/>
        <v>0</v>
      </c>
      <c r="U166" s="9" t="str">
        <f t="shared" si="144"/>
        <v/>
      </c>
      <c r="V166" s="4"/>
      <c r="W166" s="4"/>
      <c r="X166" s="5">
        <f t="shared" si="145"/>
        <v>0</v>
      </c>
      <c r="Y166" s="9" t="str">
        <f t="shared" si="146"/>
        <v/>
      </c>
      <c r="Z166" s="4"/>
      <c r="AA166" s="4"/>
      <c r="AB166" s="5">
        <f t="shared" si="147"/>
        <v>0</v>
      </c>
      <c r="AC166" s="9" t="str">
        <f t="shared" si="148"/>
        <v/>
      </c>
      <c r="AD166" s="4"/>
      <c r="AE166" s="4"/>
      <c r="AF166" s="5">
        <f t="shared" si="149"/>
        <v>0</v>
      </c>
      <c r="AG166" s="9" t="str">
        <f t="shared" si="150"/>
        <v/>
      </c>
      <c r="AH166" s="5">
        <f>495</f>
        <v>495</v>
      </c>
      <c r="AI166" s="4"/>
      <c r="AJ166" s="5">
        <f t="shared" si="151"/>
        <v>495</v>
      </c>
      <c r="AK166" s="9" t="str">
        <f t="shared" si="152"/>
        <v/>
      </c>
      <c r="AL166" s="108">
        <f>1300</f>
        <v>1300</v>
      </c>
      <c r="AM166" s="107"/>
      <c r="AN166" s="108">
        <f t="shared" si="153"/>
        <v>1300</v>
      </c>
      <c r="AO166" s="109" t="str">
        <f t="shared" si="154"/>
        <v/>
      </c>
      <c r="AP166" s="4"/>
      <c r="AQ166" s="4"/>
      <c r="AR166" s="5">
        <f t="shared" si="155"/>
        <v>0</v>
      </c>
      <c r="AS166" s="9" t="str">
        <f t="shared" si="156"/>
        <v/>
      </c>
      <c r="AT166" s="4"/>
      <c r="AU166" s="4"/>
      <c r="AV166" s="5">
        <f t="shared" si="157"/>
        <v>0</v>
      </c>
      <c r="AW166" s="9" t="str">
        <f t="shared" si="158"/>
        <v/>
      </c>
      <c r="AX166" s="5">
        <f t="shared" si="159"/>
        <v>2395</v>
      </c>
      <c r="AY166" s="5">
        <v>0</v>
      </c>
      <c r="AZ166" s="5">
        <f t="shared" si="160"/>
        <v>2395</v>
      </c>
      <c r="BA166" s="9" t="str">
        <f t="shared" si="161"/>
        <v/>
      </c>
    </row>
    <row r="167" spans="1:53" x14ac:dyDescent="0.25">
      <c r="A167" s="3" t="s">
        <v>98</v>
      </c>
      <c r="B167" s="5">
        <f>58923.54</f>
        <v>58923.54</v>
      </c>
      <c r="C167" s="5">
        <f>4910.33</f>
        <v>4910.33</v>
      </c>
      <c r="D167" s="5">
        <f t="shared" si="135"/>
        <v>54013.21</v>
      </c>
      <c r="E167" s="9">
        <f t="shared" si="136"/>
        <v>11.999914466033852</v>
      </c>
      <c r="F167" s="4"/>
      <c r="G167" s="5">
        <f>4910.33</f>
        <v>4910.33</v>
      </c>
      <c r="H167" s="5">
        <f t="shared" si="137"/>
        <v>-4910.33</v>
      </c>
      <c r="I167" s="9">
        <f t="shared" si="138"/>
        <v>0</v>
      </c>
      <c r="J167" s="4"/>
      <c r="K167" s="5">
        <f>4910.33</f>
        <v>4910.33</v>
      </c>
      <c r="L167" s="5">
        <f t="shared" si="139"/>
        <v>-4910.33</v>
      </c>
      <c r="M167" s="9">
        <f t="shared" si="140"/>
        <v>0</v>
      </c>
      <c r="N167" s="4"/>
      <c r="O167" s="5">
        <f>4910.33</f>
        <v>4910.33</v>
      </c>
      <c r="P167" s="5">
        <f t="shared" si="141"/>
        <v>-4910.33</v>
      </c>
      <c r="Q167" s="9">
        <f t="shared" si="142"/>
        <v>0</v>
      </c>
      <c r="R167" s="4"/>
      <c r="S167" s="5">
        <f>4910.33</f>
        <v>4910.33</v>
      </c>
      <c r="T167" s="5">
        <f t="shared" si="143"/>
        <v>-4910.33</v>
      </c>
      <c r="U167" s="9">
        <f t="shared" si="144"/>
        <v>0</v>
      </c>
      <c r="V167" s="4"/>
      <c r="W167" s="5">
        <f>4910.33</f>
        <v>4910.33</v>
      </c>
      <c r="X167" s="5">
        <f t="shared" si="145"/>
        <v>-4910.33</v>
      </c>
      <c r="Y167" s="9">
        <f t="shared" si="146"/>
        <v>0</v>
      </c>
      <c r="Z167" s="4"/>
      <c r="AA167" s="5">
        <f>4910.33</f>
        <v>4910.33</v>
      </c>
      <c r="AB167" s="5">
        <f t="shared" si="147"/>
        <v>-4910.33</v>
      </c>
      <c r="AC167" s="9">
        <f t="shared" si="148"/>
        <v>0</v>
      </c>
      <c r="AD167" s="4"/>
      <c r="AE167" s="5">
        <f>4910.33</f>
        <v>4910.33</v>
      </c>
      <c r="AF167" s="5">
        <f t="shared" si="149"/>
        <v>-4910.33</v>
      </c>
      <c r="AG167" s="9">
        <f t="shared" si="150"/>
        <v>0</v>
      </c>
      <c r="AH167" s="4"/>
      <c r="AI167" s="5">
        <f>4910.33</f>
        <v>4910.33</v>
      </c>
      <c r="AJ167" s="5">
        <f t="shared" si="151"/>
        <v>-4910.33</v>
      </c>
      <c r="AK167" s="9">
        <f t="shared" si="152"/>
        <v>0</v>
      </c>
      <c r="AL167" s="107"/>
      <c r="AM167" s="108">
        <f>4910.33</f>
        <v>4910.33</v>
      </c>
      <c r="AN167" s="108">
        <f t="shared" si="153"/>
        <v>-4910.33</v>
      </c>
      <c r="AO167" s="109">
        <f t="shared" si="154"/>
        <v>0</v>
      </c>
      <c r="AP167" s="4"/>
      <c r="AQ167" s="5">
        <f>4910.37</f>
        <v>4910.37</v>
      </c>
      <c r="AR167" s="5">
        <f t="shared" si="155"/>
        <v>-4910.37</v>
      </c>
      <c r="AS167" s="9">
        <f t="shared" si="156"/>
        <v>0</v>
      </c>
      <c r="AT167" s="4"/>
      <c r="AU167" s="5">
        <f>4910.33</f>
        <v>4910.33</v>
      </c>
      <c r="AV167" s="5">
        <f t="shared" si="157"/>
        <v>-4910.33</v>
      </c>
      <c r="AW167" s="9">
        <f t="shared" si="158"/>
        <v>0</v>
      </c>
      <c r="AX167" s="5">
        <f t="shared" si="159"/>
        <v>58923.54</v>
      </c>
      <c r="AY167" s="5">
        <v>58924.000000000015</v>
      </c>
      <c r="AZ167" s="5">
        <f t="shared" si="160"/>
        <v>-0.4600000000136788</v>
      </c>
      <c r="BA167" s="9">
        <f t="shared" si="161"/>
        <v>0.99999219333378564</v>
      </c>
    </row>
    <row r="168" spans="1:53" x14ac:dyDescent="0.25">
      <c r="A168" s="3" t="s">
        <v>97</v>
      </c>
      <c r="B168" s="5">
        <f>1078.68</f>
        <v>1078.68</v>
      </c>
      <c r="C168" s="4"/>
      <c r="D168" s="5">
        <f t="shared" si="135"/>
        <v>1078.68</v>
      </c>
      <c r="E168" s="9" t="str">
        <f t="shared" si="136"/>
        <v/>
      </c>
      <c r="F168" s="5">
        <f>1226.82</f>
        <v>1226.82</v>
      </c>
      <c r="G168" s="4"/>
      <c r="H168" s="5">
        <f t="shared" si="137"/>
        <v>1226.82</v>
      </c>
      <c r="I168" s="9" t="str">
        <f t="shared" si="138"/>
        <v/>
      </c>
      <c r="J168" s="5">
        <f>1226.82</f>
        <v>1226.82</v>
      </c>
      <c r="K168" s="4"/>
      <c r="L168" s="5">
        <f t="shared" si="139"/>
        <v>1226.82</v>
      </c>
      <c r="M168" s="9" t="str">
        <f t="shared" si="140"/>
        <v/>
      </c>
      <c r="N168" s="5">
        <f>1226.82</f>
        <v>1226.82</v>
      </c>
      <c r="O168" s="4"/>
      <c r="P168" s="5">
        <f t="shared" si="141"/>
        <v>1226.82</v>
      </c>
      <c r="Q168" s="9" t="str">
        <f t="shared" si="142"/>
        <v/>
      </c>
      <c r="R168" s="5">
        <f>493</f>
        <v>493</v>
      </c>
      <c r="S168" s="4"/>
      <c r="T168" s="5">
        <f t="shared" si="143"/>
        <v>493</v>
      </c>
      <c r="U168" s="9" t="str">
        <f t="shared" si="144"/>
        <v/>
      </c>
      <c r="V168" s="5">
        <f>1233.64</f>
        <v>1233.6400000000001</v>
      </c>
      <c r="W168" s="4"/>
      <c r="X168" s="5">
        <f t="shared" si="145"/>
        <v>1233.6400000000001</v>
      </c>
      <c r="Y168" s="9" t="str">
        <f t="shared" si="146"/>
        <v/>
      </c>
      <c r="Z168" s="5">
        <f>1415.27</f>
        <v>1415.27</v>
      </c>
      <c r="AA168" s="4"/>
      <c r="AB168" s="5">
        <f t="shared" si="147"/>
        <v>1415.27</v>
      </c>
      <c r="AC168" s="9" t="str">
        <f t="shared" si="148"/>
        <v/>
      </c>
      <c r="AD168" s="5">
        <f>488.44</f>
        <v>488.44</v>
      </c>
      <c r="AE168" s="4"/>
      <c r="AF168" s="5">
        <f t="shared" si="149"/>
        <v>488.44</v>
      </c>
      <c r="AG168" s="9" t="str">
        <f t="shared" si="150"/>
        <v/>
      </c>
      <c r="AH168" s="5">
        <f>856.9</f>
        <v>856.9</v>
      </c>
      <c r="AI168" s="4"/>
      <c r="AJ168" s="5">
        <f t="shared" si="151"/>
        <v>856.9</v>
      </c>
      <c r="AK168" s="9" t="str">
        <f t="shared" si="152"/>
        <v/>
      </c>
      <c r="AL168" s="108">
        <f>593.75</f>
        <v>593.75</v>
      </c>
      <c r="AM168" s="107"/>
      <c r="AN168" s="108">
        <f t="shared" si="153"/>
        <v>593.75</v>
      </c>
      <c r="AO168" s="109" t="str">
        <f t="shared" si="154"/>
        <v/>
      </c>
      <c r="AP168" s="4"/>
      <c r="AQ168" s="4"/>
      <c r="AR168" s="5">
        <f t="shared" si="155"/>
        <v>0</v>
      </c>
      <c r="AS168" s="9" t="str">
        <f t="shared" si="156"/>
        <v/>
      </c>
      <c r="AT168" s="4"/>
      <c r="AU168" s="4"/>
      <c r="AV168" s="5">
        <f t="shared" si="157"/>
        <v>0</v>
      </c>
      <c r="AW168" s="9" t="str">
        <f t="shared" si="158"/>
        <v/>
      </c>
      <c r="AX168" s="5">
        <f t="shared" si="159"/>
        <v>9840.14</v>
      </c>
      <c r="AY168" s="5">
        <v>0</v>
      </c>
      <c r="AZ168" s="5">
        <f t="shared" si="160"/>
        <v>9840.14</v>
      </c>
      <c r="BA168" s="9" t="str">
        <f t="shared" si="161"/>
        <v/>
      </c>
    </row>
    <row r="169" spans="1:53" x14ac:dyDescent="0.25">
      <c r="A169" s="3" t="s">
        <v>96</v>
      </c>
      <c r="B169" s="5">
        <f>36787.2</f>
        <v>36787.199999999997</v>
      </c>
      <c r="C169" s="5">
        <f>1670.5</f>
        <v>1670.5</v>
      </c>
      <c r="D169" s="5">
        <f t="shared" si="135"/>
        <v>35116.699999999997</v>
      </c>
      <c r="E169" s="9">
        <f t="shared" si="136"/>
        <v>22.021670158635139</v>
      </c>
      <c r="F169" s="5">
        <f>2112.2</f>
        <v>2112.1999999999998</v>
      </c>
      <c r="G169" s="5">
        <f>1670.5</f>
        <v>1670.5</v>
      </c>
      <c r="H169" s="5">
        <f t="shared" si="137"/>
        <v>441.69999999999982</v>
      </c>
      <c r="I169" s="9">
        <f t="shared" si="138"/>
        <v>1.2644118527387009</v>
      </c>
      <c r="J169" s="5">
        <f>2683.72</f>
        <v>2683.72</v>
      </c>
      <c r="K169" s="5">
        <f>1670.5</f>
        <v>1670.5</v>
      </c>
      <c r="L169" s="5">
        <f t="shared" si="139"/>
        <v>1013.2199999999998</v>
      </c>
      <c r="M169" s="9">
        <f t="shared" si="140"/>
        <v>1.6065369649805445</v>
      </c>
      <c r="N169" s="5">
        <f>3209.69</f>
        <v>3209.69</v>
      </c>
      <c r="O169" s="5">
        <f>1670.5</f>
        <v>1670.5</v>
      </c>
      <c r="P169" s="5">
        <f t="shared" si="141"/>
        <v>1539.19</v>
      </c>
      <c r="Q169" s="9">
        <f t="shared" si="142"/>
        <v>1.9213947919784495</v>
      </c>
      <c r="R169" s="5">
        <f>475.3</f>
        <v>475.3</v>
      </c>
      <c r="S169" s="5">
        <f>1670.5</f>
        <v>1670.5</v>
      </c>
      <c r="T169" s="5">
        <f t="shared" si="143"/>
        <v>-1195.2</v>
      </c>
      <c r="U169" s="9">
        <f t="shared" si="144"/>
        <v>0.28452559114037712</v>
      </c>
      <c r="V169" s="5">
        <f>2453.46</f>
        <v>2453.46</v>
      </c>
      <c r="W169" s="5">
        <f>1670.5</f>
        <v>1670.5</v>
      </c>
      <c r="X169" s="5">
        <f t="shared" si="145"/>
        <v>782.96</v>
      </c>
      <c r="Y169" s="9">
        <f t="shared" si="146"/>
        <v>1.4686979946123915</v>
      </c>
      <c r="Z169" s="5">
        <f>1988.25</f>
        <v>1988.25</v>
      </c>
      <c r="AA169" s="5">
        <f>1670.5</f>
        <v>1670.5</v>
      </c>
      <c r="AB169" s="5">
        <f t="shared" si="147"/>
        <v>317.75</v>
      </c>
      <c r="AC169" s="9">
        <f t="shared" si="148"/>
        <v>1.1902125112241844</v>
      </c>
      <c r="AD169" s="5">
        <f>1644.37</f>
        <v>1644.37</v>
      </c>
      <c r="AE169" s="5">
        <f>1670.5</f>
        <v>1670.5</v>
      </c>
      <c r="AF169" s="5">
        <f t="shared" si="149"/>
        <v>-26.130000000000109</v>
      </c>
      <c r="AG169" s="9">
        <f t="shared" si="150"/>
        <v>0.9843579766536964</v>
      </c>
      <c r="AH169" s="5">
        <f>2310.3</f>
        <v>2310.3000000000002</v>
      </c>
      <c r="AI169" s="5">
        <f>1670.5</f>
        <v>1670.5</v>
      </c>
      <c r="AJ169" s="5">
        <f t="shared" si="151"/>
        <v>639.80000000000018</v>
      </c>
      <c r="AK169" s="9">
        <f t="shared" si="152"/>
        <v>1.3829991020652501</v>
      </c>
      <c r="AL169" s="108">
        <f>1832.89</f>
        <v>1832.89</v>
      </c>
      <c r="AM169" s="108">
        <f>1670.5</f>
        <v>1670.5</v>
      </c>
      <c r="AN169" s="108">
        <f t="shared" si="153"/>
        <v>162.3900000000001</v>
      </c>
      <c r="AO169" s="109">
        <f t="shared" si="154"/>
        <v>1.0972104160431009</v>
      </c>
      <c r="AP169" s="5">
        <f>3300.7</f>
        <v>3300.7</v>
      </c>
      <c r="AQ169" s="5">
        <f>1670.5</f>
        <v>1670.5</v>
      </c>
      <c r="AR169" s="5">
        <f t="shared" si="155"/>
        <v>1630.1999999999998</v>
      </c>
      <c r="AS169" s="9">
        <f t="shared" si="156"/>
        <v>1.9758754863813228</v>
      </c>
      <c r="AT169" s="5">
        <f>24887.42</f>
        <v>24887.42</v>
      </c>
      <c r="AU169" s="5">
        <f>1670.5</f>
        <v>1670.5</v>
      </c>
      <c r="AV169" s="5">
        <f t="shared" si="157"/>
        <v>23216.92</v>
      </c>
      <c r="AW169" s="9">
        <f t="shared" si="158"/>
        <v>14.898186171804848</v>
      </c>
      <c r="AX169" s="5">
        <f t="shared" si="159"/>
        <v>83685.5</v>
      </c>
      <c r="AY169" s="5">
        <v>20046</v>
      </c>
      <c r="AZ169" s="5">
        <f t="shared" si="160"/>
        <v>63639.5</v>
      </c>
      <c r="BA169" s="9">
        <f t="shared" si="161"/>
        <v>4.1746732515215008</v>
      </c>
    </row>
    <row r="170" spans="1:53" x14ac:dyDescent="0.25">
      <c r="A170" s="3" t="s">
        <v>95</v>
      </c>
      <c r="B170" s="5">
        <f>6506.39</f>
        <v>6506.39</v>
      </c>
      <c r="C170" s="5">
        <f>11276.67</f>
        <v>11276.67</v>
      </c>
      <c r="D170" s="5">
        <f t="shared" si="135"/>
        <v>-4770.28</v>
      </c>
      <c r="E170" s="9">
        <f t="shared" si="136"/>
        <v>0.57697795537157692</v>
      </c>
      <c r="F170" s="5">
        <f>8134.37</f>
        <v>8134.37</v>
      </c>
      <c r="G170" s="5">
        <f>11276.67</f>
        <v>11276.67</v>
      </c>
      <c r="H170" s="5">
        <f t="shared" si="137"/>
        <v>-3142.3</v>
      </c>
      <c r="I170" s="9">
        <f t="shared" si="138"/>
        <v>0.72134504246377695</v>
      </c>
      <c r="J170" s="5">
        <f>7907.67</f>
        <v>7907.67</v>
      </c>
      <c r="K170" s="5">
        <f>11276.67</f>
        <v>11276.67</v>
      </c>
      <c r="L170" s="5">
        <f t="shared" si="139"/>
        <v>-3369</v>
      </c>
      <c r="M170" s="9">
        <f t="shared" si="140"/>
        <v>0.70124158993745489</v>
      </c>
      <c r="N170" s="5">
        <f>6834.97</f>
        <v>6834.97</v>
      </c>
      <c r="O170" s="5">
        <f>11276.67</f>
        <v>11276.67</v>
      </c>
      <c r="P170" s="5">
        <f t="shared" si="141"/>
        <v>-4441.7</v>
      </c>
      <c r="Q170" s="9">
        <f t="shared" si="142"/>
        <v>0.60611598991546267</v>
      </c>
      <c r="R170" s="5">
        <f>6472.57</f>
        <v>6472.57</v>
      </c>
      <c r="S170" s="5">
        <f>11276.67</f>
        <v>11276.67</v>
      </c>
      <c r="T170" s="5">
        <f t="shared" si="143"/>
        <v>-4804.1000000000004</v>
      </c>
      <c r="U170" s="9">
        <f t="shared" si="144"/>
        <v>0.57397884304497693</v>
      </c>
      <c r="V170" s="5">
        <f>6505.81</f>
        <v>6505.81</v>
      </c>
      <c r="W170" s="5">
        <f>11276.67</f>
        <v>11276.67</v>
      </c>
      <c r="X170" s="5">
        <f t="shared" si="145"/>
        <v>-4770.8599999999997</v>
      </c>
      <c r="Y170" s="9">
        <f t="shared" si="146"/>
        <v>0.5769265217479983</v>
      </c>
      <c r="Z170" s="5">
        <f>6942.77</f>
        <v>6942.77</v>
      </c>
      <c r="AA170" s="5">
        <f>11276.67</f>
        <v>11276.67</v>
      </c>
      <c r="AB170" s="5">
        <f t="shared" si="147"/>
        <v>-4333.8999999999996</v>
      </c>
      <c r="AC170" s="9">
        <f t="shared" si="148"/>
        <v>0.61567554960817339</v>
      </c>
      <c r="AD170" s="5">
        <f>6180.74</f>
        <v>6180.74</v>
      </c>
      <c r="AE170" s="5">
        <f>11276.67</f>
        <v>11276.67</v>
      </c>
      <c r="AF170" s="5">
        <f t="shared" si="149"/>
        <v>-5095.93</v>
      </c>
      <c r="AG170" s="9">
        <f t="shared" si="150"/>
        <v>0.54809974930542438</v>
      </c>
      <c r="AH170" s="5">
        <f>8680.12</f>
        <v>8680.1200000000008</v>
      </c>
      <c r="AI170" s="5">
        <f>11276.67</f>
        <v>11276.67</v>
      </c>
      <c r="AJ170" s="5">
        <f t="shared" si="151"/>
        <v>-2596.5499999999993</v>
      </c>
      <c r="AK170" s="9">
        <f t="shared" si="152"/>
        <v>0.76974142189139172</v>
      </c>
      <c r="AL170" s="108">
        <f>5765.67</f>
        <v>5765.67</v>
      </c>
      <c r="AM170" s="108">
        <f>11276.67</f>
        <v>11276.67</v>
      </c>
      <c r="AN170" s="108">
        <f t="shared" si="153"/>
        <v>-5511</v>
      </c>
      <c r="AO170" s="109">
        <f t="shared" si="154"/>
        <v>0.51129189734203451</v>
      </c>
      <c r="AP170" s="4"/>
      <c r="AQ170" s="5">
        <f>11276.67</f>
        <v>11276.67</v>
      </c>
      <c r="AR170" s="5">
        <f t="shared" si="155"/>
        <v>-11276.67</v>
      </c>
      <c r="AS170" s="9">
        <f t="shared" si="156"/>
        <v>0</v>
      </c>
      <c r="AT170" s="5">
        <f>6024.32</f>
        <v>6024.32</v>
      </c>
      <c r="AU170" s="5">
        <f>11276.63</f>
        <v>11276.63</v>
      </c>
      <c r="AV170" s="5">
        <f t="shared" si="157"/>
        <v>-5252.3099999999995</v>
      </c>
      <c r="AW170" s="9">
        <f t="shared" si="158"/>
        <v>0.53423052809216942</v>
      </c>
      <c r="AX170" s="5">
        <f t="shared" si="159"/>
        <v>75955.399999999994</v>
      </c>
      <c r="AY170" s="5">
        <v>135320</v>
      </c>
      <c r="AZ170" s="5">
        <f t="shared" si="160"/>
        <v>-59364.600000000006</v>
      </c>
      <c r="BA170" s="9">
        <f t="shared" si="161"/>
        <v>0.56130209872893877</v>
      </c>
    </row>
    <row r="171" spans="1:53" x14ac:dyDescent="0.25">
      <c r="A171" s="3" t="s">
        <v>94</v>
      </c>
      <c r="B171" s="7">
        <f>(((((((((((((((B146)+(B147))+(B148))+(B149))+(B150))+(B156))+(B157))+(B158))+(B159))+(B164))+(B165))+(B166))+(B167))+(B168))+(B169))+(B170)</f>
        <v>141551.28999999998</v>
      </c>
      <c r="C171" s="7">
        <f>(((((((((((((((C146)+(C147))+(C148))+(C149))+(C150))+(C156))+(C157))+(C158))+(C159))+(C164))+(C165))+(C166))+(C167))+(C168))+(C169))+(C170)</f>
        <v>46707.31</v>
      </c>
      <c r="D171" s="7">
        <f t="shared" si="135"/>
        <v>94843.979999999981</v>
      </c>
      <c r="E171" s="8">
        <f t="shared" si="136"/>
        <v>3.0306024902740059</v>
      </c>
      <c r="F171" s="7">
        <f>(((((((((((((((F146)+(F147))+(F148))+(F149))+(F150))+(F156))+(F157))+(F158))+(F159))+(F164))+(F165))+(F166))+(F167))+(F168))+(F169))+(F170)</f>
        <v>37121.24</v>
      </c>
      <c r="G171" s="7">
        <f>(((((((((((((((G146)+(G147))+(G148))+(G149))+(G150))+(G156))+(G157))+(G158))+(G159))+(G164))+(G165))+(G166))+(G167))+(G168))+(G169))+(G170)</f>
        <v>46707.31</v>
      </c>
      <c r="H171" s="7">
        <f t="shared" si="137"/>
        <v>-9586.07</v>
      </c>
      <c r="I171" s="8">
        <f t="shared" si="138"/>
        <v>0.79476296108681921</v>
      </c>
      <c r="J171" s="7">
        <f>(((((((((((((((J146)+(J147))+(J148))+(J149))+(J150))+(J156))+(J157))+(J158))+(J159))+(J164))+(J165))+(J166))+(J167))+(J168))+(J169))+(J170)</f>
        <v>50062.299999999996</v>
      </c>
      <c r="K171" s="7">
        <f>(((((((((((((((K146)+(K147))+(K148))+(K149))+(K150))+(K156))+(K157))+(K158))+(K159))+(K164))+(K165))+(K166))+(K167))+(K168))+(K169))+(K170)</f>
        <v>46707.31</v>
      </c>
      <c r="L171" s="7">
        <f t="shared" si="139"/>
        <v>3354.989999999998</v>
      </c>
      <c r="M171" s="8">
        <f t="shared" si="140"/>
        <v>1.0718300839847124</v>
      </c>
      <c r="N171" s="7">
        <f>(((((((((((((((N146)+(N147))+(N148))+(N149))+(N150))+(N156))+(N157))+(N158))+(N159))+(N164))+(N165))+(N166))+(N167))+(N168))+(N169))+(N170)</f>
        <v>64921.63</v>
      </c>
      <c r="O171" s="7">
        <f>(((((((((((((((O146)+(O147))+(O148))+(O149))+(O150))+(O156))+(O157))+(O158))+(O159))+(O164))+(O165))+(O166))+(O167))+(O168))+(O169))+(O170)</f>
        <v>46707.31</v>
      </c>
      <c r="P171" s="7">
        <f t="shared" si="141"/>
        <v>18214.32</v>
      </c>
      <c r="Q171" s="8">
        <f t="shared" si="142"/>
        <v>1.3899672235459504</v>
      </c>
      <c r="R171" s="7">
        <f>(((((((((((((((R146)+(R147))+(R148))+(R149))+(R150))+(R156))+(R157))+(R158))+(R159))+(R164))+(R165))+(R166))+(R167))+(R168))+(R169))+(R170)</f>
        <v>17081.509999999998</v>
      </c>
      <c r="S171" s="7">
        <f>(((((((((((((((S146)+(S147))+(S148))+(S149))+(S150))+(S156))+(S157))+(S158))+(S159))+(S164))+(S165))+(S166))+(S167))+(S168))+(S169))+(S170)</f>
        <v>46707.31</v>
      </c>
      <c r="T171" s="7">
        <f t="shared" si="143"/>
        <v>-29625.8</v>
      </c>
      <c r="U171" s="8">
        <f t="shared" si="144"/>
        <v>0.36571384650496891</v>
      </c>
      <c r="V171" s="7">
        <f>(((((((((((((((V146)+(V147))+(V148))+(V149))+(V150))+(V156))+(V157))+(V158))+(V159))+(V164))+(V165))+(V166))+(V167))+(V168))+(V169))+(V170)</f>
        <v>19735.490000000002</v>
      </c>
      <c r="W171" s="7">
        <f>(((((((((((((((W146)+(W147))+(W148))+(W149))+(W150))+(W156))+(W157))+(W158))+(W159))+(W164))+(W165))+(W166))+(W167))+(W168))+(W169))+(W170)</f>
        <v>46707.31</v>
      </c>
      <c r="X171" s="7">
        <f t="shared" si="145"/>
        <v>-26971.819999999996</v>
      </c>
      <c r="Y171" s="8">
        <f t="shared" si="146"/>
        <v>0.4225353590262424</v>
      </c>
      <c r="Z171" s="7">
        <f>(((((((((((((((Z146)+(Z147))+(Z148))+(Z149))+(Z150))+(Z156))+(Z157))+(Z158))+(Z159))+(Z164))+(Z165))+(Z166))+(Z167))+(Z168))+(Z169))+(Z170)</f>
        <v>59244.289999999994</v>
      </c>
      <c r="AA171" s="7">
        <f>(((((((((((((((AA146)+(AA147))+(AA148))+(AA149))+(AA150))+(AA156))+(AA157))+(AA158))+(AA159))+(AA164))+(AA165))+(AA166))+(AA167))+(AA168))+(AA169))+(AA170)</f>
        <v>44788.31</v>
      </c>
      <c r="AB171" s="7">
        <f t="shared" si="147"/>
        <v>14455.979999999996</v>
      </c>
      <c r="AC171" s="8">
        <f t="shared" si="148"/>
        <v>1.3227623457996069</v>
      </c>
      <c r="AD171" s="7">
        <f>(((((((((((((((AD146)+(AD147))+(AD148))+(AD149))+(AD150))+(AD156))+(AD157))+(AD158))+(AD159))+(AD164))+(AD165))+(AD166))+(AD167))+(AD168))+(AD169))+(AD170)</f>
        <v>21130.43</v>
      </c>
      <c r="AE171" s="7">
        <f>(((((((((((((((AE146)+(AE147))+(AE148))+(AE149))+(AE150))+(AE156))+(AE157))+(AE158))+(AE159))+(AE164))+(AE165))+(AE166))+(AE167))+(AE168))+(AE169))+(AE170)</f>
        <v>85322.31</v>
      </c>
      <c r="AF171" s="7">
        <f t="shared" si="149"/>
        <v>-64191.88</v>
      </c>
      <c r="AG171" s="8">
        <f t="shared" si="150"/>
        <v>0.24765421845704835</v>
      </c>
      <c r="AH171" s="7">
        <f>(((((((((((((((AH146)+(AH147))+(AH148))+(AH149))+(AH150))+(AH156))+(AH157))+(AH158))+(AH159))+(AH164))+(AH165))+(AH166))+(AH167))+(AH168))+(AH169))+(AH170)</f>
        <v>39083.020000000004</v>
      </c>
      <c r="AI171" s="7">
        <f>(((((((((((((((AI146)+(AI147))+(AI148))+(AI149))+(AI150))+(AI156))+(AI157))+(AI158))+(AI159))+(AI164))+(AI165))+(AI166))+(AI167))+(AI168))+(AI169))+(AI170)</f>
        <v>85322.31</v>
      </c>
      <c r="AJ171" s="7">
        <f t="shared" si="151"/>
        <v>-46239.289999999994</v>
      </c>
      <c r="AK171" s="8">
        <f t="shared" si="152"/>
        <v>0.45806331310064163</v>
      </c>
      <c r="AL171" s="110">
        <f>(((((((((((((((AL146)+(AL147))+(AL148))+(AL149))+(AL150))+(AL156))+(AL157))+(AL158))+(AL159))+(AL164))+(AL165))+(AL166))+(AL167))+(AL168))+(AL169))+(AL170)</f>
        <v>28037.519999999997</v>
      </c>
      <c r="AM171" s="110">
        <f>(((((((((((((((AM146)+(AM147))+(AM148))+(AM149))+(AM150))+(AM156))+(AM157))+(AM158))+(AM159))+(AM164))+(AM165))+(AM166))+(AM167))+(AM168))+(AM169))+(AM170)</f>
        <v>85322.31</v>
      </c>
      <c r="AN171" s="110">
        <f t="shared" si="153"/>
        <v>-57284.79</v>
      </c>
      <c r="AO171" s="111">
        <f t="shared" si="154"/>
        <v>0.32860713686725074</v>
      </c>
      <c r="AP171" s="7">
        <f>(((((((((((((((AP146)+(AP147))+(AP148))+(AP149))+(AP150))+(AP156))+(AP157))+(AP158))+(AP159))+(AP164))+(AP165))+(AP166))+(AP167))+(AP168))+(AP169))+(AP170)</f>
        <v>17148.650000000001</v>
      </c>
      <c r="AQ171" s="7">
        <f>(((((((((((((((AQ146)+(AQ147))+(AQ148))+(AQ149))+(AQ150))+(AQ156))+(AQ157))+(AQ158))+(AQ159))+(AQ164))+(AQ165))+(AQ166))+(AQ167))+(AQ168))+(AQ169))+(AQ170)</f>
        <v>85322.51</v>
      </c>
      <c r="AR171" s="7">
        <f t="shared" si="155"/>
        <v>-68173.859999999986</v>
      </c>
      <c r="AS171" s="8">
        <f t="shared" si="156"/>
        <v>0.20098623446497299</v>
      </c>
      <c r="AT171" s="7">
        <f>(((((((((((((((AT146)+(AT147))+(AT148))+(AT149))+(AT150))+(AT156))+(AT157))+(AT158))+(AT159))+(AT164))+(AT165))+(AT166))+(AT167))+(AT168))+(AT169))+(AT170)</f>
        <v>52865.43</v>
      </c>
      <c r="AU171" s="7">
        <f>(((((((((((((((AU146)+(AU147))+(AU148))+(AU149))+(AU150))+(AU156))+(AU157))+(AU158))+(AU159))+(AU164))+(AU165))+(AU166))+(AU167))+(AU168))+(AU169))+(AU170)</f>
        <v>85322.390000000014</v>
      </c>
      <c r="AV171" s="7">
        <f t="shared" si="157"/>
        <v>-32456.960000000014</v>
      </c>
      <c r="AW171" s="8">
        <f t="shared" si="158"/>
        <v>0.61959621618663041</v>
      </c>
      <c r="AX171" s="7">
        <f t="shared" si="159"/>
        <v>547982.80000000005</v>
      </c>
      <c r="AY171" s="7">
        <v>751644</v>
      </c>
      <c r="AZ171" s="7">
        <f t="shared" si="160"/>
        <v>-203661.19999999995</v>
      </c>
      <c r="BA171" s="8">
        <f t="shared" si="161"/>
        <v>0.72904566523513792</v>
      </c>
    </row>
    <row r="172" spans="1:53" x14ac:dyDescent="0.25">
      <c r="A172" s="3" t="s">
        <v>93</v>
      </c>
      <c r="B172" s="4"/>
      <c r="C172" s="4"/>
      <c r="D172" s="5">
        <f t="shared" si="135"/>
        <v>0</v>
      </c>
      <c r="E172" s="9" t="str">
        <f t="shared" si="136"/>
        <v/>
      </c>
      <c r="F172" s="4"/>
      <c r="G172" s="4"/>
      <c r="H172" s="5">
        <f t="shared" si="137"/>
        <v>0</v>
      </c>
      <c r="I172" s="9" t="str">
        <f t="shared" si="138"/>
        <v/>
      </c>
      <c r="J172" s="4"/>
      <c r="K172" s="4"/>
      <c r="L172" s="5">
        <f t="shared" si="139"/>
        <v>0</v>
      </c>
      <c r="M172" s="9" t="str">
        <f t="shared" si="140"/>
        <v/>
      </c>
      <c r="N172" s="4"/>
      <c r="O172" s="4"/>
      <c r="P172" s="5">
        <f t="shared" si="141"/>
        <v>0</v>
      </c>
      <c r="Q172" s="9" t="str">
        <f t="shared" si="142"/>
        <v/>
      </c>
      <c r="R172" s="4"/>
      <c r="S172" s="4"/>
      <c r="T172" s="5">
        <f t="shared" si="143"/>
        <v>0</v>
      </c>
      <c r="U172" s="9" t="str">
        <f t="shared" si="144"/>
        <v/>
      </c>
      <c r="V172" s="4"/>
      <c r="W172" s="4"/>
      <c r="X172" s="5">
        <f t="shared" si="145"/>
        <v>0</v>
      </c>
      <c r="Y172" s="9" t="str">
        <f t="shared" si="146"/>
        <v/>
      </c>
      <c r="Z172" s="4"/>
      <c r="AA172" s="4"/>
      <c r="AB172" s="5">
        <f t="shared" si="147"/>
        <v>0</v>
      </c>
      <c r="AC172" s="9" t="str">
        <f t="shared" si="148"/>
        <v/>
      </c>
      <c r="AD172" s="4"/>
      <c r="AE172" s="4"/>
      <c r="AF172" s="5">
        <f t="shared" si="149"/>
        <v>0</v>
      </c>
      <c r="AG172" s="9" t="str">
        <f t="shared" si="150"/>
        <v/>
      </c>
      <c r="AH172" s="4"/>
      <c r="AI172" s="4"/>
      <c r="AJ172" s="5">
        <f t="shared" si="151"/>
        <v>0</v>
      </c>
      <c r="AK172" s="9" t="str">
        <f t="shared" si="152"/>
        <v/>
      </c>
      <c r="AL172" s="107"/>
      <c r="AM172" s="107"/>
      <c r="AN172" s="108">
        <f t="shared" si="153"/>
        <v>0</v>
      </c>
      <c r="AO172" s="109" t="str">
        <f t="shared" si="154"/>
        <v/>
      </c>
      <c r="AP172" s="4"/>
      <c r="AQ172" s="4"/>
      <c r="AR172" s="5">
        <f t="shared" si="155"/>
        <v>0</v>
      </c>
      <c r="AS172" s="9" t="str">
        <f t="shared" si="156"/>
        <v/>
      </c>
      <c r="AT172" s="4"/>
      <c r="AU172" s="4"/>
      <c r="AV172" s="5">
        <f t="shared" si="157"/>
        <v>0</v>
      </c>
      <c r="AW172" s="9" t="str">
        <f t="shared" si="158"/>
        <v/>
      </c>
      <c r="AX172" s="5">
        <f t="shared" si="159"/>
        <v>0</v>
      </c>
      <c r="AY172" s="5">
        <v>0</v>
      </c>
      <c r="AZ172" s="5">
        <f t="shared" si="160"/>
        <v>0</v>
      </c>
      <c r="BA172" s="9" t="str">
        <f t="shared" si="161"/>
        <v/>
      </c>
    </row>
    <row r="173" spans="1:53" x14ac:dyDescent="0.25">
      <c r="A173" s="3" t="s">
        <v>92</v>
      </c>
      <c r="B173" s="4"/>
      <c r="C173" s="4"/>
      <c r="D173" s="5">
        <f t="shared" si="135"/>
        <v>0</v>
      </c>
      <c r="E173" s="9" t="str">
        <f t="shared" si="136"/>
        <v/>
      </c>
      <c r="F173" s="4"/>
      <c r="G173" s="4"/>
      <c r="H173" s="5">
        <f t="shared" si="137"/>
        <v>0</v>
      </c>
      <c r="I173" s="9" t="str">
        <f t="shared" si="138"/>
        <v/>
      </c>
      <c r="J173" s="4"/>
      <c r="K173" s="4"/>
      <c r="L173" s="5">
        <f t="shared" si="139"/>
        <v>0</v>
      </c>
      <c r="M173" s="9" t="str">
        <f t="shared" si="140"/>
        <v/>
      </c>
      <c r="N173" s="4"/>
      <c r="O173" s="4"/>
      <c r="P173" s="5">
        <f t="shared" si="141"/>
        <v>0</v>
      </c>
      <c r="Q173" s="9" t="str">
        <f t="shared" si="142"/>
        <v/>
      </c>
      <c r="R173" s="4"/>
      <c r="S173" s="4"/>
      <c r="T173" s="5">
        <f t="shared" si="143"/>
        <v>0</v>
      </c>
      <c r="U173" s="9" t="str">
        <f t="shared" si="144"/>
        <v/>
      </c>
      <c r="V173" s="4"/>
      <c r="W173" s="4"/>
      <c r="X173" s="5">
        <f t="shared" si="145"/>
        <v>0</v>
      </c>
      <c r="Y173" s="9" t="str">
        <f t="shared" si="146"/>
        <v/>
      </c>
      <c r="Z173" s="4"/>
      <c r="AA173" s="4"/>
      <c r="AB173" s="5">
        <f t="shared" si="147"/>
        <v>0</v>
      </c>
      <c r="AC173" s="9" t="str">
        <f t="shared" si="148"/>
        <v/>
      </c>
      <c r="AD173" s="5">
        <f>312.5</f>
        <v>312.5</v>
      </c>
      <c r="AE173" s="4"/>
      <c r="AF173" s="5">
        <f t="shared" si="149"/>
        <v>312.5</v>
      </c>
      <c r="AG173" s="9" t="str">
        <f t="shared" si="150"/>
        <v/>
      </c>
      <c r="AH173" s="4"/>
      <c r="AI173" s="4"/>
      <c r="AJ173" s="5">
        <f t="shared" si="151"/>
        <v>0</v>
      </c>
      <c r="AK173" s="9" t="str">
        <f t="shared" si="152"/>
        <v/>
      </c>
      <c r="AL173" s="107"/>
      <c r="AM173" s="107"/>
      <c r="AN173" s="108">
        <f t="shared" si="153"/>
        <v>0</v>
      </c>
      <c r="AO173" s="109" t="str">
        <f t="shared" si="154"/>
        <v/>
      </c>
      <c r="AP173" s="4"/>
      <c r="AQ173" s="4"/>
      <c r="AR173" s="5">
        <f t="shared" si="155"/>
        <v>0</v>
      </c>
      <c r="AS173" s="9" t="str">
        <f t="shared" si="156"/>
        <v/>
      </c>
      <c r="AT173" s="4"/>
      <c r="AU173" s="4"/>
      <c r="AV173" s="5">
        <f t="shared" si="157"/>
        <v>0</v>
      </c>
      <c r="AW173" s="9" t="str">
        <f t="shared" si="158"/>
        <v/>
      </c>
      <c r="AX173" s="5">
        <f t="shared" si="159"/>
        <v>312.5</v>
      </c>
      <c r="AY173" s="5">
        <v>0</v>
      </c>
      <c r="AZ173" s="5">
        <f t="shared" si="160"/>
        <v>312.5</v>
      </c>
      <c r="BA173" s="9" t="str">
        <f t="shared" si="161"/>
        <v/>
      </c>
    </row>
    <row r="174" spans="1:53" x14ac:dyDescent="0.25">
      <c r="A174" s="3" t="s">
        <v>91</v>
      </c>
      <c r="B174" s="4"/>
      <c r="C174" s="5">
        <f>21557.42</f>
        <v>21557.42</v>
      </c>
      <c r="D174" s="5">
        <f t="shared" si="135"/>
        <v>-21557.42</v>
      </c>
      <c r="E174" s="9">
        <f t="shared" si="136"/>
        <v>0</v>
      </c>
      <c r="F174" s="5">
        <f>2512.69</f>
        <v>2512.69</v>
      </c>
      <c r="G174" s="5">
        <f>21557.42</f>
        <v>21557.42</v>
      </c>
      <c r="H174" s="5">
        <f t="shared" si="137"/>
        <v>-19044.73</v>
      </c>
      <c r="I174" s="9">
        <f t="shared" si="138"/>
        <v>0.11655801111635809</v>
      </c>
      <c r="J174" s="4"/>
      <c r="K174" s="5">
        <f>21557.42</f>
        <v>21557.42</v>
      </c>
      <c r="L174" s="5">
        <f t="shared" si="139"/>
        <v>-21557.42</v>
      </c>
      <c r="M174" s="9">
        <f t="shared" si="140"/>
        <v>0</v>
      </c>
      <c r="N174" s="5">
        <f>32733.05</f>
        <v>32733.05</v>
      </c>
      <c r="O174" s="5">
        <f>21557.42</f>
        <v>21557.42</v>
      </c>
      <c r="P174" s="5">
        <f t="shared" si="141"/>
        <v>11175.630000000001</v>
      </c>
      <c r="Q174" s="9">
        <f t="shared" si="142"/>
        <v>1.5184122218707063</v>
      </c>
      <c r="R174" s="5">
        <f>21170.96</f>
        <v>21170.959999999999</v>
      </c>
      <c r="S174" s="5">
        <f>21557.42</f>
        <v>21557.42</v>
      </c>
      <c r="T174" s="5">
        <f t="shared" si="143"/>
        <v>-386.45999999999913</v>
      </c>
      <c r="U174" s="9">
        <f t="shared" si="144"/>
        <v>0.98207299389259017</v>
      </c>
      <c r="V174" s="5">
        <f>21865.09</f>
        <v>21865.09</v>
      </c>
      <c r="W174" s="5">
        <f>21557.42</f>
        <v>21557.42</v>
      </c>
      <c r="X174" s="5">
        <f t="shared" si="145"/>
        <v>307.67000000000189</v>
      </c>
      <c r="Y174" s="9">
        <f t="shared" si="146"/>
        <v>1.0142721160509931</v>
      </c>
      <c r="Z174" s="5">
        <f>22784.22</f>
        <v>22784.22</v>
      </c>
      <c r="AA174" s="5">
        <f>21557.42</f>
        <v>21557.42</v>
      </c>
      <c r="AB174" s="5">
        <f t="shared" si="147"/>
        <v>1226.8000000000029</v>
      </c>
      <c r="AC174" s="9">
        <f t="shared" si="148"/>
        <v>1.0569084797716983</v>
      </c>
      <c r="AD174" s="4"/>
      <c r="AE174" s="5">
        <f>21557.42</f>
        <v>21557.42</v>
      </c>
      <c r="AF174" s="5">
        <f t="shared" si="149"/>
        <v>-21557.42</v>
      </c>
      <c r="AG174" s="9">
        <f t="shared" si="150"/>
        <v>0</v>
      </c>
      <c r="AH174" s="4"/>
      <c r="AI174" s="5">
        <f>21557.42</f>
        <v>21557.42</v>
      </c>
      <c r="AJ174" s="5">
        <f t="shared" si="151"/>
        <v>-21557.42</v>
      </c>
      <c r="AK174" s="9">
        <f t="shared" si="152"/>
        <v>0</v>
      </c>
      <c r="AL174" s="108">
        <f>16951.65</f>
        <v>16951.650000000001</v>
      </c>
      <c r="AM174" s="108">
        <f>21557.42</f>
        <v>21557.42</v>
      </c>
      <c r="AN174" s="108">
        <f t="shared" si="153"/>
        <v>-4605.7699999999968</v>
      </c>
      <c r="AO174" s="109">
        <f t="shared" si="154"/>
        <v>0.78634873746487299</v>
      </c>
      <c r="AP174" s="5">
        <f>8733.6</f>
        <v>8733.6</v>
      </c>
      <c r="AQ174" s="5">
        <f>21557.4</f>
        <v>21557.4</v>
      </c>
      <c r="AR174" s="5">
        <f t="shared" si="155"/>
        <v>-12823.800000000001</v>
      </c>
      <c r="AS174" s="9">
        <f t="shared" si="156"/>
        <v>0.40513234434579309</v>
      </c>
      <c r="AT174" s="4"/>
      <c r="AU174" s="5">
        <f>21557.4</f>
        <v>21557.4</v>
      </c>
      <c r="AV174" s="5">
        <f t="shared" si="157"/>
        <v>-21557.4</v>
      </c>
      <c r="AW174" s="9">
        <f t="shared" si="158"/>
        <v>0</v>
      </c>
      <c r="AX174" s="5">
        <f t="shared" si="159"/>
        <v>126751.26000000001</v>
      </c>
      <c r="AY174" s="5">
        <v>258688.99999999994</v>
      </c>
      <c r="AZ174" s="5">
        <f t="shared" si="160"/>
        <v>-131937.73999999993</v>
      </c>
      <c r="BA174" s="9">
        <f t="shared" si="161"/>
        <v>0.48997545315030805</v>
      </c>
    </row>
    <row r="175" spans="1:53" x14ac:dyDescent="0.25">
      <c r="A175" s="3" t="s">
        <v>90</v>
      </c>
      <c r="B175" s="5">
        <f>0</f>
        <v>0</v>
      </c>
      <c r="C175" s="4"/>
      <c r="D175" s="5">
        <f t="shared" si="135"/>
        <v>0</v>
      </c>
      <c r="E175" s="9" t="str">
        <f t="shared" si="136"/>
        <v/>
      </c>
      <c r="F175" s="5">
        <f>22953.68</f>
        <v>22953.68</v>
      </c>
      <c r="G175" s="4"/>
      <c r="H175" s="5">
        <f t="shared" si="137"/>
        <v>22953.68</v>
      </c>
      <c r="I175" s="9" t="str">
        <f t="shared" si="138"/>
        <v/>
      </c>
      <c r="J175" s="5">
        <f>28961.65</f>
        <v>28961.65</v>
      </c>
      <c r="K175" s="4"/>
      <c r="L175" s="5">
        <f t="shared" si="139"/>
        <v>28961.65</v>
      </c>
      <c r="M175" s="9" t="str">
        <f t="shared" si="140"/>
        <v/>
      </c>
      <c r="N175" s="4"/>
      <c r="O175" s="4"/>
      <c r="P175" s="5">
        <f t="shared" si="141"/>
        <v>0</v>
      </c>
      <c r="Q175" s="9" t="str">
        <f t="shared" si="142"/>
        <v/>
      </c>
      <c r="R175" s="4"/>
      <c r="S175" s="4"/>
      <c r="T175" s="5">
        <f t="shared" si="143"/>
        <v>0</v>
      </c>
      <c r="U175" s="9" t="str">
        <f t="shared" si="144"/>
        <v/>
      </c>
      <c r="V175" s="4"/>
      <c r="W175" s="4"/>
      <c r="X175" s="5">
        <f t="shared" si="145"/>
        <v>0</v>
      </c>
      <c r="Y175" s="9" t="str">
        <f t="shared" si="146"/>
        <v/>
      </c>
      <c r="Z175" s="4"/>
      <c r="AA175" s="4"/>
      <c r="AB175" s="5">
        <f t="shared" si="147"/>
        <v>0</v>
      </c>
      <c r="AC175" s="9" t="str">
        <f t="shared" si="148"/>
        <v/>
      </c>
      <c r="AD175" s="4"/>
      <c r="AE175" s="4"/>
      <c r="AF175" s="5">
        <f t="shared" si="149"/>
        <v>0</v>
      </c>
      <c r="AG175" s="9" t="str">
        <f t="shared" si="150"/>
        <v/>
      </c>
      <c r="AH175" s="4"/>
      <c r="AI175" s="4"/>
      <c r="AJ175" s="5">
        <f t="shared" si="151"/>
        <v>0</v>
      </c>
      <c r="AK175" s="9" t="str">
        <f t="shared" si="152"/>
        <v/>
      </c>
      <c r="AL175" s="108">
        <f>1995</f>
        <v>1995</v>
      </c>
      <c r="AM175" s="107"/>
      <c r="AN175" s="108">
        <f t="shared" si="153"/>
        <v>1995</v>
      </c>
      <c r="AO175" s="109" t="str">
        <f t="shared" si="154"/>
        <v/>
      </c>
      <c r="AP175" s="4"/>
      <c r="AQ175" s="4"/>
      <c r="AR175" s="5">
        <f t="shared" si="155"/>
        <v>0</v>
      </c>
      <c r="AS175" s="9" t="str">
        <f t="shared" si="156"/>
        <v/>
      </c>
      <c r="AT175" s="4"/>
      <c r="AU175" s="4"/>
      <c r="AV175" s="5">
        <f t="shared" si="157"/>
        <v>0</v>
      </c>
      <c r="AW175" s="9" t="str">
        <f t="shared" si="158"/>
        <v/>
      </c>
      <c r="AX175" s="5">
        <f t="shared" si="159"/>
        <v>53910.33</v>
      </c>
      <c r="AY175" s="5">
        <v>0</v>
      </c>
      <c r="AZ175" s="5">
        <f t="shared" si="160"/>
        <v>53910.33</v>
      </c>
      <c r="BA175" s="9" t="str">
        <f t="shared" si="161"/>
        <v/>
      </c>
    </row>
    <row r="176" spans="1:53" x14ac:dyDescent="0.25">
      <c r="A176" s="3" t="s">
        <v>89</v>
      </c>
      <c r="B176" s="4"/>
      <c r="C176" s="4"/>
      <c r="D176" s="5">
        <f t="shared" si="135"/>
        <v>0</v>
      </c>
      <c r="E176" s="9" t="str">
        <f t="shared" si="136"/>
        <v/>
      </c>
      <c r="F176" s="4"/>
      <c r="G176" s="4"/>
      <c r="H176" s="5">
        <f t="shared" si="137"/>
        <v>0</v>
      </c>
      <c r="I176" s="9" t="str">
        <f t="shared" si="138"/>
        <v/>
      </c>
      <c r="J176" s="4"/>
      <c r="K176" s="4"/>
      <c r="L176" s="5">
        <f t="shared" si="139"/>
        <v>0</v>
      </c>
      <c r="M176" s="9" t="str">
        <f t="shared" si="140"/>
        <v/>
      </c>
      <c r="N176" s="4"/>
      <c r="O176" s="4"/>
      <c r="P176" s="5">
        <f t="shared" si="141"/>
        <v>0</v>
      </c>
      <c r="Q176" s="9" t="str">
        <f t="shared" si="142"/>
        <v/>
      </c>
      <c r="R176" s="4"/>
      <c r="S176" s="4"/>
      <c r="T176" s="5">
        <f t="shared" si="143"/>
        <v>0</v>
      </c>
      <c r="U176" s="9" t="str">
        <f t="shared" si="144"/>
        <v/>
      </c>
      <c r="V176" s="4"/>
      <c r="W176" s="4"/>
      <c r="X176" s="5">
        <f t="shared" si="145"/>
        <v>0</v>
      </c>
      <c r="Y176" s="9" t="str">
        <f t="shared" si="146"/>
        <v/>
      </c>
      <c r="Z176" s="4"/>
      <c r="AA176" s="4"/>
      <c r="AB176" s="5">
        <f t="shared" si="147"/>
        <v>0</v>
      </c>
      <c r="AC176" s="9" t="str">
        <f t="shared" si="148"/>
        <v/>
      </c>
      <c r="AD176" s="5">
        <f>44247.77</f>
        <v>44247.77</v>
      </c>
      <c r="AE176" s="4"/>
      <c r="AF176" s="5">
        <f t="shared" si="149"/>
        <v>44247.77</v>
      </c>
      <c r="AG176" s="9" t="str">
        <f t="shared" si="150"/>
        <v/>
      </c>
      <c r="AH176" s="5">
        <f>46903.18</f>
        <v>46903.18</v>
      </c>
      <c r="AI176" s="4"/>
      <c r="AJ176" s="5">
        <f t="shared" si="151"/>
        <v>46903.18</v>
      </c>
      <c r="AK176" s="9" t="str">
        <f t="shared" si="152"/>
        <v/>
      </c>
      <c r="AL176" s="108">
        <f>8456.1</f>
        <v>8456.1</v>
      </c>
      <c r="AM176" s="107"/>
      <c r="AN176" s="108">
        <f t="shared" si="153"/>
        <v>8456.1</v>
      </c>
      <c r="AO176" s="109" t="str">
        <f t="shared" si="154"/>
        <v/>
      </c>
      <c r="AP176" s="5">
        <f>25009</f>
        <v>25009</v>
      </c>
      <c r="AQ176" s="4"/>
      <c r="AR176" s="5">
        <f t="shared" si="155"/>
        <v>25009</v>
      </c>
      <c r="AS176" s="9" t="str">
        <f t="shared" si="156"/>
        <v/>
      </c>
      <c r="AT176" s="5">
        <f>4992.5</f>
        <v>4992.5</v>
      </c>
      <c r="AU176" s="4"/>
      <c r="AV176" s="5">
        <f t="shared" si="157"/>
        <v>4992.5</v>
      </c>
      <c r="AW176" s="9" t="str">
        <f t="shared" si="158"/>
        <v/>
      </c>
      <c r="AX176" s="5">
        <f t="shared" si="159"/>
        <v>129608.55</v>
      </c>
      <c r="AY176" s="5">
        <v>0</v>
      </c>
      <c r="AZ176" s="5">
        <f t="shared" si="160"/>
        <v>129608.55</v>
      </c>
      <c r="BA176" s="9" t="str">
        <f t="shared" si="161"/>
        <v/>
      </c>
    </row>
    <row r="177" spans="1:53" x14ac:dyDescent="0.25">
      <c r="A177" s="3" t="s">
        <v>88</v>
      </c>
      <c r="B177" s="4"/>
      <c r="C177" s="4"/>
      <c r="D177" s="5">
        <f t="shared" si="135"/>
        <v>0</v>
      </c>
      <c r="E177" s="9" t="str">
        <f t="shared" si="136"/>
        <v/>
      </c>
      <c r="F177" s="4"/>
      <c r="G177" s="4"/>
      <c r="H177" s="5">
        <f t="shared" si="137"/>
        <v>0</v>
      </c>
      <c r="I177" s="9" t="str">
        <f t="shared" si="138"/>
        <v/>
      </c>
      <c r="J177" s="4"/>
      <c r="K177" s="4"/>
      <c r="L177" s="5">
        <f t="shared" si="139"/>
        <v>0</v>
      </c>
      <c r="M177" s="9" t="str">
        <f t="shared" si="140"/>
        <v/>
      </c>
      <c r="N177" s="4"/>
      <c r="O177" s="4"/>
      <c r="P177" s="5">
        <f t="shared" si="141"/>
        <v>0</v>
      </c>
      <c r="Q177" s="9" t="str">
        <f t="shared" si="142"/>
        <v/>
      </c>
      <c r="R177" s="4"/>
      <c r="S177" s="4"/>
      <c r="T177" s="5">
        <f t="shared" si="143"/>
        <v>0</v>
      </c>
      <c r="U177" s="9" t="str">
        <f t="shared" si="144"/>
        <v/>
      </c>
      <c r="V177" s="4"/>
      <c r="W177" s="4"/>
      <c r="X177" s="5">
        <f t="shared" si="145"/>
        <v>0</v>
      </c>
      <c r="Y177" s="9" t="str">
        <f t="shared" si="146"/>
        <v/>
      </c>
      <c r="Z177" s="4"/>
      <c r="AA177" s="4"/>
      <c r="AB177" s="5">
        <f t="shared" si="147"/>
        <v>0</v>
      </c>
      <c r="AC177" s="9" t="str">
        <f t="shared" si="148"/>
        <v/>
      </c>
      <c r="AD177" s="5">
        <f>179</f>
        <v>179</v>
      </c>
      <c r="AE177" s="4"/>
      <c r="AF177" s="5">
        <f t="shared" si="149"/>
        <v>179</v>
      </c>
      <c r="AG177" s="9" t="str">
        <f t="shared" si="150"/>
        <v/>
      </c>
      <c r="AH177" s="4"/>
      <c r="AI177" s="4"/>
      <c r="AJ177" s="5">
        <f t="shared" si="151"/>
        <v>0</v>
      </c>
      <c r="AK177" s="9" t="str">
        <f t="shared" si="152"/>
        <v/>
      </c>
      <c r="AL177" s="107"/>
      <c r="AM177" s="107"/>
      <c r="AN177" s="108">
        <f t="shared" si="153"/>
        <v>0</v>
      </c>
      <c r="AO177" s="109" t="str">
        <f t="shared" si="154"/>
        <v/>
      </c>
      <c r="AP177" s="4"/>
      <c r="AQ177" s="4"/>
      <c r="AR177" s="5">
        <f t="shared" si="155"/>
        <v>0</v>
      </c>
      <c r="AS177" s="9" t="str">
        <f t="shared" si="156"/>
        <v/>
      </c>
      <c r="AT177" s="4"/>
      <c r="AU177" s="4"/>
      <c r="AV177" s="5">
        <f t="shared" si="157"/>
        <v>0</v>
      </c>
      <c r="AW177" s="9" t="str">
        <f t="shared" si="158"/>
        <v/>
      </c>
      <c r="AX177" s="5">
        <f t="shared" si="159"/>
        <v>179</v>
      </c>
      <c r="AY177" s="5">
        <v>0</v>
      </c>
      <c r="AZ177" s="5">
        <f t="shared" si="160"/>
        <v>179</v>
      </c>
      <c r="BA177" s="9" t="str">
        <f t="shared" si="161"/>
        <v/>
      </c>
    </row>
    <row r="178" spans="1:53" x14ac:dyDescent="0.25">
      <c r="A178" s="3" t="s">
        <v>87</v>
      </c>
      <c r="B178" s="7">
        <f>(((((B172)+(B173))+(B174))+(B175))+(B176))+(B177)</f>
        <v>0</v>
      </c>
      <c r="C178" s="7">
        <f>(((((C172)+(C173))+(C174))+(C175))+(C176))+(C177)</f>
        <v>21557.42</v>
      </c>
      <c r="D178" s="7">
        <f t="shared" si="135"/>
        <v>-21557.42</v>
      </c>
      <c r="E178" s="8">
        <f t="shared" si="136"/>
        <v>0</v>
      </c>
      <c r="F178" s="7">
        <f>(((((F172)+(F173))+(F174))+(F175))+(F176))+(F177)</f>
        <v>25466.37</v>
      </c>
      <c r="G178" s="7">
        <f>(((((G172)+(G173))+(G174))+(G175))+(G176))+(G177)</f>
        <v>21557.42</v>
      </c>
      <c r="H178" s="7">
        <f t="shared" si="137"/>
        <v>3908.9500000000007</v>
      </c>
      <c r="I178" s="8">
        <f t="shared" si="138"/>
        <v>1.1813273573553793</v>
      </c>
      <c r="J178" s="7">
        <f>(((((J172)+(J173))+(J174))+(J175))+(J176))+(J177)</f>
        <v>28961.65</v>
      </c>
      <c r="K178" s="7">
        <f>(((((K172)+(K173))+(K174))+(K175))+(K176))+(K177)</f>
        <v>21557.42</v>
      </c>
      <c r="L178" s="7">
        <f t="shared" si="139"/>
        <v>7404.2300000000032</v>
      </c>
      <c r="M178" s="8">
        <f t="shared" si="140"/>
        <v>1.3434654981904144</v>
      </c>
      <c r="N178" s="7">
        <f>(((((N172)+(N173))+(N174))+(N175))+(N176))+(N177)</f>
        <v>32733.05</v>
      </c>
      <c r="O178" s="7">
        <f>(((((O172)+(O173))+(O174))+(O175))+(O176))+(O177)</f>
        <v>21557.42</v>
      </c>
      <c r="P178" s="7">
        <f t="shared" si="141"/>
        <v>11175.630000000001</v>
      </c>
      <c r="Q178" s="8">
        <f t="shared" si="142"/>
        <v>1.5184122218707063</v>
      </c>
      <c r="R178" s="7">
        <f>(((((R172)+(R173))+(R174))+(R175))+(R176))+(R177)</f>
        <v>21170.959999999999</v>
      </c>
      <c r="S178" s="7">
        <f>(((((S172)+(S173))+(S174))+(S175))+(S176))+(S177)</f>
        <v>21557.42</v>
      </c>
      <c r="T178" s="7">
        <f t="shared" si="143"/>
        <v>-386.45999999999913</v>
      </c>
      <c r="U178" s="8">
        <f t="shared" si="144"/>
        <v>0.98207299389259017</v>
      </c>
      <c r="V178" s="7">
        <f>(((((V172)+(V173))+(V174))+(V175))+(V176))+(V177)</f>
        <v>21865.09</v>
      </c>
      <c r="W178" s="7">
        <f>(((((W172)+(W173))+(W174))+(W175))+(W176))+(W177)</f>
        <v>21557.42</v>
      </c>
      <c r="X178" s="7">
        <f t="shared" si="145"/>
        <v>307.67000000000189</v>
      </c>
      <c r="Y178" s="8">
        <f t="shared" si="146"/>
        <v>1.0142721160509931</v>
      </c>
      <c r="Z178" s="7">
        <f>(((((Z172)+(Z173))+(Z174))+(Z175))+(Z176))+(Z177)</f>
        <v>22784.22</v>
      </c>
      <c r="AA178" s="7">
        <f>(((((AA172)+(AA173))+(AA174))+(AA175))+(AA176))+(AA177)</f>
        <v>21557.42</v>
      </c>
      <c r="AB178" s="7">
        <f t="shared" si="147"/>
        <v>1226.8000000000029</v>
      </c>
      <c r="AC178" s="8">
        <f t="shared" si="148"/>
        <v>1.0569084797716983</v>
      </c>
      <c r="AD178" s="7">
        <f>(((((AD172)+(AD173))+(AD174))+(AD175))+(AD176))+(AD177)</f>
        <v>44739.27</v>
      </c>
      <c r="AE178" s="7">
        <f>(((((AE172)+(AE173))+(AE174))+(AE175))+(AE176))+(AE177)</f>
        <v>21557.42</v>
      </c>
      <c r="AF178" s="7">
        <f t="shared" si="149"/>
        <v>23181.85</v>
      </c>
      <c r="AG178" s="8">
        <f t="shared" si="150"/>
        <v>2.0753536369380008</v>
      </c>
      <c r="AH178" s="7">
        <f>(((((AH172)+(AH173))+(AH174))+(AH175))+(AH176))+(AH177)</f>
        <v>46903.18</v>
      </c>
      <c r="AI178" s="7">
        <f>(((((AI172)+(AI173))+(AI174))+(AI175))+(AI176))+(AI177)</f>
        <v>21557.42</v>
      </c>
      <c r="AJ178" s="7">
        <f t="shared" si="151"/>
        <v>25345.760000000002</v>
      </c>
      <c r="AK178" s="8">
        <f t="shared" si="152"/>
        <v>2.1757325320005827</v>
      </c>
      <c r="AL178" s="110">
        <f>(((((AL172)+(AL173))+(AL174))+(AL175))+(AL176))+(AL177)</f>
        <v>27402.75</v>
      </c>
      <c r="AM178" s="110">
        <f>(((((AM172)+(AM173))+(AM174))+(AM175))+(AM176))+(AM177)</f>
        <v>21557.42</v>
      </c>
      <c r="AN178" s="110">
        <f t="shared" si="153"/>
        <v>5845.3300000000017</v>
      </c>
      <c r="AO178" s="111">
        <f t="shared" si="154"/>
        <v>1.2711516498727586</v>
      </c>
      <c r="AP178" s="7">
        <f>(((((AP172)+(AP173))+(AP174))+(AP175))+(AP176))+(AP177)</f>
        <v>33742.6</v>
      </c>
      <c r="AQ178" s="7">
        <f>(((((AQ172)+(AQ173))+(AQ174))+(AQ175))+(AQ176))+(AQ177)</f>
        <v>21557.4</v>
      </c>
      <c r="AR178" s="7">
        <f t="shared" si="155"/>
        <v>12185.199999999997</v>
      </c>
      <c r="AS178" s="8">
        <f t="shared" si="156"/>
        <v>1.565244417230278</v>
      </c>
      <c r="AT178" s="7">
        <f>(((((AT172)+(AT173))+(AT174))+(AT175))+(AT176))+(AT177)</f>
        <v>4992.5</v>
      </c>
      <c r="AU178" s="7">
        <f>(((((AU172)+(AU173))+(AU174))+(AU175))+(AU176))+(AU177)</f>
        <v>21557.4</v>
      </c>
      <c r="AV178" s="7">
        <f t="shared" si="157"/>
        <v>-16564.900000000001</v>
      </c>
      <c r="AW178" s="8">
        <f t="shared" si="158"/>
        <v>0.2315910081920825</v>
      </c>
      <c r="AX178" s="7">
        <f t="shared" si="159"/>
        <v>310761.63999999996</v>
      </c>
      <c r="AY178" s="7">
        <v>258688.99999999994</v>
      </c>
      <c r="AZ178" s="7">
        <f t="shared" si="160"/>
        <v>52072.640000000014</v>
      </c>
      <c r="BA178" s="8">
        <f t="shared" si="161"/>
        <v>1.2012943727796699</v>
      </c>
    </row>
    <row r="179" spans="1:53" x14ac:dyDescent="0.25">
      <c r="A179" s="3" t="s">
        <v>86</v>
      </c>
      <c r="B179" s="4"/>
      <c r="C179" s="4"/>
      <c r="D179" s="5">
        <f t="shared" si="135"/>
        <v>0</v>
      </c>
      <c r="E179" s="9" t="str">
        <f t="shared" si="136"/>
        <v/>
      </c>
      <c r="F179" s="4"/>
      <c r="G179" s="4"/>
      <c r="H179" s="5">
        <f t="shared" si="137"/>
        <v>0</v>
      </c>
      <c r="I179" s="9" t="str">
        <f t="shared" si="138"/>
        <v/>
      </c>
      <c r="J179" s="4"/>
      <c r="K179" s="4"/>
      <c r="L179" s="5">
        <f t="shared" si="139"/>
        <v>0</v>
      </c>
      <c r="M179" s="9" t="str">
        <f t="shared" si="140"/>
        <v/>
      </c>
      <c r="N179" s="4"/>
      <c r="O179" s="4"/>
      <c r="P179" s="5">
        <f t="shared" si="141"/>
        <v>0</v>
      </c>
      <c r="Q179" s="9" t="str">
        <f t="shared" si="142"/>
        <v/>
      </c>
      <c r="R179" s="4"/>
      <c r="S179" s="4"/>
      <c r="T179" s="5">
        <f t="shared" si="143"/>
        <v>0</v>
      </c>
      <c r="U179" s="9" t="str">
        <f t="shared" si="144"/>
        <v/>
      </c>
      <c r="V179" s="4"/>
      <c r="W179" s="4"/>
      <c r="X179" s="5">
        <f t="shared" si="145"/>
        <v>0</v>
      </c>
      <c r="Y179" s="9" t="str">
        <f t="shared" si="146"/>
        <v/>
      </c>
      <c r="Z179" s="4"/>
      <c r="AA179" s="4"/>
      <c r="AB179" s="5">
        <f t="shared" si="147"/>
        <v>0</v>
      </c>
      <c r="AC179" s="9" t="str">
        <f t="shared" si="148"/>
        <v/>
      </c>
      <c r="AD179" s="4"/>
      <c r="AE179" s="4"/>
      <c r="AF179" s="5">
        <f t="shared" si="149"/>
        <v>0</v>
      </c>
      <c r="AG179" s="9" t="str">
        <f t="shared" si="150"/>
        <v/>
      </c>
      <c r="AH179" s="4"/>
      <c r="AI179" s="4"/>
      <c r="AJ179" s="5">
        <f t="shared" si="151"/>
        <v>0</v>
      </c>
      <c r="AK179" s="9" t="str">
        <f t="shared" si="152"/>
        <v/>
      </c>
      <c r="AL179" s="107"/>
      <c r="AM179" s="107"/>
      <c r="AN179" s="108">
        <f t="shared" si="153"/>
        <v>0</v>
      </c>
      <c r="AO179" s="109" t="str">
        <f t="shared" si="154"/>
        <v/>
      </c>
      <c r="AP179" s="4"/>
      <c r="AQ179" s="4"/>
      <c r="AR179" s="5">
        <f t="shared" si="155"/>
        <v>0</v>
      </c>
      <c r="AS179" s="9" t="str">
        <f t="shared" si="156"/>
        <v/>
      </c>
      <c r="AT179" s="4"/>
      <c r="AU179" s="4"/>
      <c r="AV179" s="5">
        <f t="shared" si="157"/>
        <v>0</v>
      </c>
      <c r="AW179" s="9" t="str">
        <f t="shared" si="158"/>
        <v/>
      </c>
      <c r="AX179" s="5">
        <f t="shared" si="159"/>
        <v>0</v>
      </c>
      <c r="AY179" s="5">
        <v>0</v>
      </c>
      <c r="AZ179" s="5">
        <f t="shared" si="160"/>
        <v>0</v>
      </c>
      <c r="BA179" s="9" t="str">
        <f t="shared" si="161"/>
        <v/>
      </c>
    </row>
    <row r="180" spans="1:53" x14ac:dyDescent="0.25">
      <c r="A180" s="3" t="s">
        <v>85</v>
      </c>
      <c r="B180" s="4"/>
      <c r="C180" s="4"/>
      <c r="D180" s="5">
        <f t="shared" si="135"/>
        <v>0</v>
      </c>
      <c r="E180" s="9" t="str">
        <f t="shared" si="136"/>
        <v/>
      </c>
      <c r="F180" s="4"/>
      <c r="G180" s="4"/>
      <c r="H180" s="5">
        <f t="shared" si="137"/>
        <v>0</v>
      </c>
      <c r="I180" s="9" t="str">
        <f t="shared" si="138"/>
        <v/>
      </c>
      <c r="J180" s="4"/>
      <c r="K180" s="4"/>
      <c r="L180" s="5">
        <f t="shared" si="139"/>
        <v>0</v>
      </c>
      <c r="M180" s="9" t="str">
        <f t="shared" si="140"/>
        <v/>
      </c>
      <c r="N180" s="4"/>
      <c r="O180" s="4"/>
      <c r="P180" s="5">
        <f t="shared" si="141"/>
        <v>0</v>
      </c>
      <c r="Q180" s="9" t="str">
        <f t="shared" si="142"/>
        <v/>
      </c>
      <c r="R180" s="5">
        <f>1245</f>
        <v>1245</v>
      </c>
      <c r="S180" s="4"/>
      <c r="T180" s="5">
        <f t="shared" si="143"/>
        <v>1245</v>
      </c>
      <c r="U180" s="9" t="str">
        <f t="shared" si="144"/>
        <v/>
      </c>
      <c r="V180" s="5">
        <f>1485</f>
        <v>1485</v>
      </c>
      <c r="W180" s="4"/>
      <c r="X180" s="5">
        <f t="shared" si="145"/>
        <v>1485</v>
      </c>
      <c r="Y180" s="9" t="str">
        <f t="shared" si="146"/>
        <v/>
      </c>
      <c r="Z180" s="5">
        <f>840</f>
        <v>840</v>
      </c>
      <c r="AA180" s="4"/>
      <c r="AB180" s="5">
        <f t="shared" si="147"/>
        <v>840</v>
      </c>
      <c r="AC180" s="9" t="str">
        <f t="shared" si="148"/>
        <v/>
      </c>
      <c r="AD180" s="4"/>
      <c r="AE180" s="4"/>
      <c r="AF180" s="5">
        <f t="shared" si="149"/>
        <v>0</v>
      </c>
      <c r="AG180" s="9" t="str">
        <f t="shared" si="150"/>
        <v/>
      </c>
      <c r="AH180" s="5">
        <f>1560</f>
        <v>1560</v>
      </c>
      <c r="AI180" s="4"/>
      <c r="AJ180" s="5">
        <f t="shared" si="151"/>
        <v>1560</v>
      </c>
      <c r="AK180" s="9" t="str">
        <f t="shared" si="152"/>
        <v/>
      </c>
      <c r="AL180" s="108">
        <f>300</f>
        <v>300</v>
      </c>
      <c r="AM180" s="107"/>
      <c r="AN180" s="108">
        <f t="shared" si="153"/>
        <v>300</v>
      </c>
      <c r="AO180" s="109" t="str">
        <f t="shared" si="154"/>
        <v/>
      </c>
      <c r="AP180" s="5">
        <f>1620</f>
        <v>1620</v>
      </c>
      <c r="AQ180" s="4"/>
      <c r="AR180" s="5">
        <f t="shared" si="155"/>
        <v>1620</v>
      </c>
      <c r="AS180" s="9" t="str">
        <f t="shared" si="156"/>
        <v/>
      </c>
      <c r="AT180" s="5">
        <f>2120</f>
        <v>2120</v>
      </c>
      <c r="AU180" s="4"/>
      <c r="AV180" s="5">
        <f t="shared" si="157"/>
        <v>2120</v>
      </c>
      <c r="AW180" s="9" t="str">
        <f t="shared" si="158"/>
        <v/>
      </c>
      <c r="AX180" s="5">
        <f t="shared" si="159"/>
        <v>9170</v>
      </c>
      <c r="AY180" s="5">
        <v>0</v>
      </c>
      <c r="AZ180" s="5">
        <f t="shared" si="160"/>
        <v>9170</v>
      </c>
      <c r="BA180" s="9" t="str">
        <f t="shared" si="161"/>
        <v/>
      </c>
    </row>
    <row r="181" spans="1:53" x14ac:dyDescent="0.25">
      <c r="A181" s="3" t="s">
        <v>84</v>
      </c>
      <c r="B181" s="4"/>
      <c r="C181" s="4"/>
      <c r="D181" s="5">
        <f t="shared" si="135"/>
        <v>0</v>
      </c>
      <c r="E181" s="9" t="str">
        <f t="shared" si="136"/>
        <v/>
      </c>
      <c r="F181" s="4"/>
      <c r="G181" s="4"/>
      <c r="H181" s="5">
        <f t="shared" si="137"/>
        <v>0</v>
      </c>
      <c r="I181" s="9" t="str">
        <f t="shared" si="138"/>
        <v/>
      </c>
      <c r="J181" s="4"/>
      <c r="K181" s="4"/>
      <c r="L181" s="5">
        <f t="shared" si="139"/>
        <v>0</v>
      </c>
      <c r="M181" s="9" t="str">
        <f t="shared" si="140"/>
        <v/>
      </c>
      <c r="N181" s="5">
        <f>1110</f>
        <v>1110</v>
      </c>
      <c r="O181" s="4"/>
      <c r="P181" s="5">
        <f t="shared" si="141"/>
        <v>1110</v>
      </c>
      <c r="Q181" s="9" t="str">
        <f t="shared" si="142"/>
        <v/>
      </c>
      <c r="R181" s="5">
        <f>270</f>
        <v>270</v>
      </c>
      <c r="S181" s="4"/>
      <c r="T181" s="5">
        <f t="shared" si="143"/>
        <v>270</v>
      </c>
      <c r="U181" s="9" t="str">
        <f t="shared" si="144"/>
        <v/>
      </c>
      <c r="V181" s="4"/>
      <c r="W181" s="4"/>
      <c r="X181" s="5">
        <f t="shared" si="145"/>
        <v>0</v>
      </c>
      <c r="Y181" s="9" t="str">
        <f t="shared" si="146"/>
        <v/>
      </c>
      <c r="Z181" s="4"/>
      <c r="AA181" s="4"/>
      <c r="AB181" s="5">
        <f t="shared" si="147"/>
        <v>0</v>
      </c>
      <c r="AC181" s="9" t="str">
        <f t="shared" si="148"/>
        <v/>
      </c>
      <c r="AD181" s="5">
        <f>1480</f>
        <v>1480</v>
      </c>
      <c r="AE181" s="4"/>
      <c r="AF181" s="5">
        <f t="shared" si="149"/>
        <v>1480</v>
      </c>
      <c r="AG181" s="9" t="str">
        <f t="shared" si="150"/>
        <v/>
      </c>
      <c r="AH181" s="5">
        <f>300</f>
        <v>300</v>
      </c>
      <c r="AI181" s="4"/>
      <c r="AJ181" s="5">
        <f t="shared" si="151"/>
        <v>300</v>
      </c>
      <c r="AK181" s="9" t="str">
        <f t="shared" si="152"/>
        <v/>
      </c>
      <c r="AL181" s="107"/>
      <c r="AM181" s="107"/>
      <c r="AN181" s="108">
        <f t="shared" si="153"/>
        <v>0</v>
      </c>
      <c r="AO181" s="109" t="str">
        <f t="shared" si="154"/>
        <v/>
      </c>
      <c r="AP181" s="4"/>
      <c r="AQ181" s="4"/>
      <c r="AR181" s="5">
        <f t="shared" si="155"/>
        <v>0</v>
      </c>
      <c r="AS181" s="9" t="str">
        <f t="shared" si="156"/>
        <v/>
      </c>
      <c r="AT181" s="4"/>
      <c r="AU181" s="4"/>
      <c r="AV181" s="5">
        <f t="shared" si="157"/>
        <v>0</v>
      </c>
      <c r="AW181" s="9" t="str">
        <f t="shared" si="158"/>
        <v/>
      </c>
      <c r="AX181" s="5">
        <f t="shared" si="159"/>
        <v>3160</v>
      </c>
      <c r="AY181" s="5">
        <v>0</v>
      </c>
      <c r="AZ181" s="5">
        <f t="shared" si="160"/>
        <v>3160</v>
      </c>
      <c r="BA181" s="9" t="str">
        <f t="shared" si="161"/>
        <v/>
      </c>
    </row>
    <row r="182" spans="1:53" x14ac:dyDescent="0.25">
      <c r="A182" s="3" t="s">
        <v>83</v>
      </c>
      <c r="B182" s="4"/>
      <c r="C182" s="4"/>
      <c r="D182" s="5">
        <f t="shared" si="135"/>
        <v>0</v>
      </c>
      <c r="E182" s="9" t="str">
        <f t="shared" si="136"/>
        <v/>
      </c>
      <c r="F182" s="4"/>
      <c r="G182" s="4"/>
      <c r="H182" s="5">
        <f t="shared" si="137"/>
        <v>0</v>
      </c>
      <c r="I182" s="9" t="str">
        <f t="shared" si="138"/>
        <v/>
      </c>
      <c r="J182" s="4"/>
      <c r="K182" s="4"/>
      <c r="L182" s="5">
        <f t="shared" si="139"/>
        <v>0</v>
      </c>
      <c r="M182" s="9" t="str">
        <f t="shared" si="140"/>
        <v/>
      </c>
      <c r="N182" s="5">
        <f>28.89</f>
        <v>28.89</v>
      </c>
      <c r="O182" s="4"/>
      <c r="P182" s="5">
        <f t="shared" si="141"/>
        <v>28.89</v>
      </c>
      <c r="Q182" s="9" t="str">
        <f t="shared" si="142"/>
        <v/>
      </c>
      <c r="R182" s="5">
        <f>725.6</f>
        <v>725.6</v>
      </c>
      <c r="S182" s="4"/>
      <c r="T182" s="5">
        <f t="shared" si="143"/>
        <v>725.6</v>
      </c>
      <c r="U182" s="9" t="str">
        <f t="shared" si="144"/>
        <v/>
      </c>
      <c r="V182" s="5">
        <f>3798.03</f>
        <v>3798.03</v>
      </c>
      <c r="W182" s="4"/>
      <c r="X182" s="5">
        <f t="shared" si="145"/>
        <v>3798.03</v>
      </c>
      <c r="Y182" s="9" t="str">
        <f t="shared" si="146"/>
        <v/>
      </c>
      <c r="Z182" s="4"/>
      <c r="AA182" s="4"/>
      <c r="AB182" s="5">
        <f t="shared" si="147"/>
        <v>0</v>
      </c>
      <c r="AC182" s="9" t="str">
        <f t="shared" si="148"/>
        <v/>
      </c>
      <c r="AD182" s="5">
        <f>95.97</f>
        <v>95.97</v>
      </c>
      <c r="AE182" s="4"/>
      <c r="AF182" s="5">
        <f t="shared" si="149"/>
        <v>95.97</v>
      </c>
      <c r="AG182" s="9" t="str">
        <f t="shared" si="150"/>
        <v/>
      </c>
      <c r="AH182" s="5">
        <f>33</f>
        <v>33</v>
      </c>
      <c r="AI182" s="4"/>
      <c r="AJ182" s="5">
        <f t="shared" si="151"/>
        <v>33</v>
      </c>
      <c r="AK182" s="9" t="str">
        <f t="shared" si="152"/>
        <v/>
      </c>
      <c r="AL182" s="107"/>
      <c r="AM182" s="107"/>
      <c r="AN182" s="108">
        <f t="shared" si="153"/>
        <v>0</v>
      </c>
      <c r="AO182" s="109" t="str">
        <f t="shared" si="154"/>
        <v/>
      </c>
      <c r="AP182" s="5">
        <f>2972.7</f>
        <v>2972.7</v>
      </c>
      <c r="AQ182" s="4"/>
      <c r="AR182" s="5">
        <f t="shared" si="155"/>
        <v>2972.7</v>
      </c>
      <c r="AS182" s="9" t="str">
        <f t="shared" si="156"/>
        <v/>
      </c>
      <c r="AT182" s="5">
        <f>23.75</f>
        <v>23.75</v>
      </c>
      <c r="AU182" s="4"/>
      <c r="AV182" s="5">
        <f t="shared" si="157"/>
        <v>23.75</v>
      </c>
      <c r="AW182" s="9" t="str">
        <f t="shared" si="158"/>
        <v/>
      </c>
      <c r="AX182" s="5">
        <f t="shared" si="159"/>
        <v>7677.9400000000005</v>
      </c>
      <c r="AY182" s="5">
        <v>0</v>
      </c>
      <c r="AZ182" s="5">
        <f t="shared" si="160"/>
        <v>7677.9400000000005</v>
      </c>
      <c r="BA182" s="9" t="str">
        <f t="shared" si="161"/>
        <v/>
      </c>
    </row>
    <row r="183" spans="1:53" x14ac:dyDescent="0.25">
      <c r="A183" s="3" t="s">
        <v>82</v>
      </c>
      <c r="B183" s="5">
        <f>1302.93</f>
        <v>1302.93</v>
      </c>
      <c r="C183" s="4"/>
      <c r="D183" s="5">
        <f t="shared" si="135"/>
        <v>1302.93</v>
      </c>
      <c r="E183" s="9" t="str">
        <f t="shared" si="136"/>
        <v/>
      </c>
      <c r="F183" s="4"/>
      <c r="G183" s="4"/>
      <c r="H183" s="5">
        <f t="shared" si="137"/>
        <v>0</v>
      </c>
      <c r="I183" s="9" t="str">
        <f t="shared" si="138"/>
        <v/>
      </c>
      <c r="J183" s="4"/>
      <c r="K183" s="4"/>
      <c r="L183" s="5">
        <f t="shared" si="139"/>
        <v>0</v>
      </c>
      <c r="M183" s="9" t="str">
        <f t="shared" si="140"/>
        <v/>
      </c>
      <c r="N183" s="5">
        <f>3706.02</f>
        <v>3706.02</v>
      </c>
      <c r="O183" s="4"/>
      <c r="P183" s="5">
        <f t="shared" si="141"/>
        <v>3706.02</v>
      </c>
      <c r="Q183" s="9" t="str">
        <f t="shared" si="142"/>
        <v/>
      </c>
      <c r="R183" s="5">
        <f>568.13</f>
        <v>568.13</v>
      </c>
      <c r="S183" s="4"/>
      <c r="T183" s="5">
        <f t="shared" si="143"/>
        <v>568.13</v>
      </c>
      <c r="U183" s="9" t="str">
        <f t="shared" si="144"/>
        <v/>
      </c>
      <c r="V183" s="5">
        <f>1102.31</f>
        <v>1102.31</v>
      </c>
      <c r="W183" s="4"/>
      <c r="X183" s="5">
        <f t="shared" si="145"/>
        <v>1102.31</v>
      </c>
      <c r="Y183" s="9" t="str">
        <f t="shared" si="146"/>
        <v/>
      </c>
      <c r="Z183" s="5">
        <f>139.84</f>
        <v>139.84</v>
      </c>
      <c r="AA183" s="4"/>
      <c r="AB183" s="5">
        <f t="shared" si="147"/>
        <v>139.84</v>
      </c>
      <c r="AC183" s="9" t="str">
        <f t="shared" si="148"/>
        <v/>
      </c>
      <c r="AD183" s="5">
        <f>717.8</f>
        <v>717.8</v>
      </c>
      <c r="AE183" s="4"/>
      <c r="AF183" s="5">
        <f t="shared" si="149"/>
        <v>717.8</v>
      </c>
      <c r="AG183" s="9" t="str">
        <f t="shared" si="150"/>
        <v/>
      </c>
      <c r="AH183" s="5">
        <f>248.41</f>
        <v>248.41</v>
      </c>
      <c r="AI183" s="4"/>
      <c r="AJ183" s="5">
        <f t="shared" si="151"/>
        <v>248.41</v>
      </c>
      <c r="AK183" s="9" t="str">
        <f t="shared" si="152"/>
        <v/>
      </c>
      <c r="AL183" s="108">
        <f>1772.05</f>
        <v>1772.05</v>
      </c>
      <c r="AM183" s="107"/>
      <c r="AN183" s="108">
        <f t="shared" si="153"/>
        <v>1772.05</v>
      </c>
      <c r="AO183" s="109" t="str">
        <f t="shared" si="154"/>
        <v/>
      </c>
      <c r="AP183" s="5">
        <f>1555.53</f>
        <v>1555.53</v>
      </c>
      <c r="AQ183" s="4"/>
      <c r="AR183" s="5">
        <f t="shared" si="155"/>
        <v>1555.53</v>
      </c>
      <c r="AS183" s="9" t="str">
        <f t="shared" si="156"/>
        <v/>
      </c>
      <c r="AT183" s="5">
        <f>750.93</f>
        <v>750.93</v>
      </c>
      <c r="AU183" s="4"/>
      <c r="AV183" s="5">
        <f t="shared" si="157"/>
        <v>750.93</v>
      </c>
      <c r="AW183" s="9" t="str">
        <f t="shared" si="158"/>
        <v/>
      </c>
      <c r="AX183" s="5">
        <f t="shared" si="159"/>
        <v>11863.95</v>
      </c>
      <c r="AY183" s="5">
        <v>0</v>
      </c>
      <c r="AZ183" s="5">
        <f t="shared" si="160"/>
        <v>11863.95</v>
      </c>
      <c r="BA183" s="9" t="str">
        <f t="shared" si="161"/>
        <v/>
      </c>
    </row>
    <row r="184" spans="1:53" x14ac:dyDescent="0.25">
      <c r="A184" s="3" t="s">
        <v>81</v>
      </c>
      <c r="B184" s="4"/>
      <c r="C184" s="5">
        <f>2583.5</f>
        <v>2583.5</v>
      </c>
      <c r="D184" s="5">
        <f t="shared" si="135"/>
        <v>-2583.5</v>
      </c>
      <c r="E184" s="9">
        <f t="shared" si="136"/>
        <v>0</v>
      </c>
      <c r="F184" s="5">
        <f>60</f>
        <v>60</v>
      </c>
      <c r="G184" s="5">
        <f>2583.5</f>
        <v>2583.5</v>
      </c>
      <c r="H184" s="5">
        <f t="shared" si="137"/>
        <v>-2523.5</v>
      </c>
      <c r="I184" s="9">
        <f t="shared" si="138"/>
        <v>2.3224308109154247E-2</v>
      </c>
      <c r="J184" s="4"/>
      <c r="K184" s="5">
        <f>2583.5</f>
        <v>2583.5</v>
      </c>
      <c r="L184" s="5">
        <f t="shared" si="139"/>
        <v>-2583.5</v>
      </c>
      <c r="M184" s="9">
        <f t="shared" si="140"/>
        <v>0</v>
      </c>
      <c r="N184" s="5">
        <f>54.95</f>
        <v>54.95</v>
      </c>
      <c r="O184" s="5">
        <f>2583.5</f>
        <v>2583.5</v>
      </c>
      <c r="P184" s="5">
        <f t="shared" si="141"/>
        <v>-2528.5500000000002</v>
      </c>
      <c r="Q184" s="9">
        <f t="shared" si="142"/>
        <v>2.1269595509967099E-2</v>
      </c>
      <c r="R184" s="5">
        <f>357.53</f>
        <v>357.53</v>
      </c>
      <c r="S184" s="5">
        <f>2583.5</f>
        <v>2583.5</v>
      </c>
      <c r="T184" s="5">
        <f t="shared" si="143"/>
        <v>-2225.9700000000003</v>
      </c>
      <c r="U184" s="9">
        <f t="shared" si="144"/>
        <v>0.13838978130443197</v>
      </c>
      <c r="V184" s="5">
        <f>1095.82</f>
        <v>1095.82</v>
      </c>
      <c r="W184" s="5">
        <f>2583.5</f>
        <v>2583.5</v>
      </c>
      <c r="X184" s="5">
        <f t="shared" si="145"/>
        <v>-1487.68</v>
      </c>
      <c r="Y184" s="9">
        <f t="shared" si="146"/>
        <v>0.42416102186955679</v>
      </c>
      <c r="Z184" s="4"/>
      <c r="AA184" s="5">
        <f>2583.5</f>
        <v>2583.5</v>
      </c>
      <c r="AB184" s="5">
        <f t="shared" si="147"/>
        <v>-2583.5</v>
      </c>
      <c r="AC184" s="9">
        <f t="shared" si="148"/>
        <v>0</v>
      </c>
      <c r="AD184" s="4"/>
      <c r="AE184" s="5">
        <f>2583.5</f>
        <v>2583.5</v>
      </c>
      <c r="AF184" s="5">
        <f t="shared" si="149"/>
        <v>-2583.5</v>
      </c>
      <c r="AG184" s="9">
        <f t="shared" si="150"/>
        <v>0</v>
      </c>
      <c r="AH184" s="5">
        <f>50</f>
        <v>50</v>
      </c>
      <c r="AI184" s="5">
        <f>2583.5</f>
        <v>2583.5</v>
      </c>
      <c r="AJ184" s="5">
        <f t="shared" si="151"/>
        <v>-2533.5</v>
      </c>
      <c r="AK184" s="9">
        <f t="shared" si="152"/>
        <v>1.9353590090961874E-2</v>
      </c>
      <c r="AL184" s="108">
        <f>180</f>
        <v>180</v>
      </c>
      <c r="AM184" s="108">
        <f>2583.5</f>
        <v>2583.5</v>
      </c>
      <c r="AN184" s="108">
        <f t="shared" si="153"/>
        <v>-2403.5</v>
      </c>
      <c r="AO184" s="109">
        <f t="shared" si="154"/>
        <v>6.9672924327462749E-2</v>
      </c>
      <c r="AP184" s="4"/>
      <c r="AQ184" s="5">
        <f>2583.5</f>
        <v>2583.5</v>
      </c>
      <c r="AR184" s="5">
        <f t="shared" si="155"/>
        <v>-2583.5</v>
      </c>
      <c r="AS184" s="9">
        <f t="shared" si="156"/>
        <v>0</v>
      </c>
      <c r="AT184" s="4"/>
      <c r="AU184" s="5">
        <f>2583.5</f>
        <v>2583.5</v>
      </c>
      <c r="AV184" s="5">
        <f t="shared" si="157"/>
        <v>-2583.5</v>
      </c>
      <c r="AW184" s="9">
        <f t="shared" si="158"/>
        <v>0</v>
      </c>
      <c r="AX184" s="5">
        <f t="shared" si="159"/>
        <v>1798.3</v>
      </c>
      <c r="AY184" s="5">
        <v>31002</v>
      </c>
      <c r="AZ184" s="5">
        <f t="shared" si="160"/>
        <v>-29203.7</v>
      </c>
      <c r="BA184" s="9">
        <f t="shared" si="161"/>
        <v>5.8005935100961227E-2</v>
      </c>
    </row>
    <row r="185" spans="1:53" x14ac:dyDescent="0.25">
      <c r="A185" s="3" t="s">
        <v>80</v>
      </c>
      <c r="B185" s="7">
        <f>(((((B179)+(B180))+(B181))+(B182))+(B183))+(B184)</f>
        <v>1302.93</v>
      </c>
      <c r="C185" s="7">
        <f>(((((C179)+(C180))+(C181))+(C182))+(C183))+(C184)</f>
        <v>2583.5</v>
      </c>
      <c r="D185" s="7">
        <f t="shared" si="135"/>
        <v>-1280.57</v>
      </c>
      <c r="E185" s="8">
        <f t="shared" si="136"/>
        <v>0.50432746274433915</v>
      </c>
      <c r="F185" s="7">
        <f>(((((F179)+(F180))+(F181))+(F182))+(F183))+(F184)</f>
        <v>60</v>
      </c>
      <c r="G185" s="7">
        <f>(((((G179)+(G180))+(G181))+(G182))+(G183))+(G184)</f>
        <v>2583.5</v>
      </c>
      <c r="H185" s="7">
        <f t="shared" si="137"/>
        <v>-2523.5</v>
      </c>
      <c r="I185" s="8">
        <f t="shared" si="138"/>
        <v>2.3224308109154247E-2</v>
      </c>
      <c r="J185" s="7">
        <f>(((((J179)+(J180))+(J181))+(J182))+(J183))+(J184)</f>
        <v>0</v>
      </c>
      <c r="K185" s="7">
        <f>(((((K179)+(K180))+(K181))+(K182))+(K183))+(K184)</f>
        <v>2583.5</v>
      </c>
      <c r="L185" s="7">
        <f t="shared" si="139"/>
        <v>-2583.5</v>
      </c>
      <c r="M185" s="8">
        <f t="shared" si="140"/>
        <v>0</v>
      </c>
      <c r="N185" s="7">
        <f>(((((N179)+(N180))+(N181))+(N182))+(N183))+(N184)</f>
        <v>4899.8599999999997</v>
      </c>
      <c r="O185" s="7">
        <f>(((((O179)+(O180))+(O181))+(O182))+(O183))+(O184)</f>
        <v>2583.5</v>
      </c>
      <c r="P185" s="7">
        <f t="shared" si="141"/>
        <v>2316.3599999999997</v>
      </c>
      <c r="Q185" s="8">
        <f t="shared" si="142"/>
        <v>1.8965976388620087</v>
      </c>
      <c r="R185" s="7">
        <f>(((((R179)+(R180))+(R181))+(R182))+(R183))+(R184)</f>
        <v>3166.26</v>
      </c>
      <c r="S185" s="7">
        <f>(((((S179)+(S180))+(S181))+(S182))+(S183))+(S184)</f>
        <v>2583.5</v>
      </c>
      <c r="T185" s="7">
        <f t="shared" si="143"/>
        <v>582.76000000000022</v>
      </c>
      <c r="U185" s="8">
        <f t="shared" si="144"/>
        <v>1.2255699632281789</v>
      </c>
      <c r="V185" s="7">
        <f>(((((V179)+(V180))+(V181))+(V182))+(V183))+(V184)</f>
        <v>7481.16</v>
      </c>
      <c r="W185" s="7">
        <f>(((((W179)+(W180))+(W181))+(W182))+(W183))+(W184)</f>
        <v>2583.5</v>
      </c>
      <c r="X185" s="7">
        <f t="shared" si="145"/>
        <v>4897.66</v>
      </c>
      <c r="Y185" s="8">
        <f t="shared" si="146"/>
        <v>2.8957460808980064</v>
      </c>
      <c r="Z185" s="7">
        <f>(((((Z179)+(Z180))+(Z181))+(Z182))+(Z183))+(Z184)</f>
        <v>979.84</v>
      </c>
      <c r="AA185" s="7">
        <f>(((((AA179)+(AA180))+(AA181))+(AA182))+(AA183))+(AA184)</f>
        <v>2583.5</v>
      </c>
      <c r="AB185" s="7">
        <f t="shared" si="147"/>
        <v>-1603.6599999999999</v>
      </c>
      <c r="AC185" s="8">
        <f t="shared" si="148"/>
        <v>0.37926843429456164</v>
      </c>
      <c r="AD185" s="7">
        <f>(((((AD179)+(AD180))+(AD181))+(AD182))+(AD183))+(AD184)</f>
        <v>2293.77</v>
      </c>
      <c r="AE185" s="7">
        <f>(((((AE179)+(AE180))+(AE181))+(AE182))+(AE183))+(AE184)</f>
        <v>2583.5</v>
      </c>
      <c r="AF185" s="7">
        <f t="shared" si="149"/>
        <v>-289.73</v>
      </c>
      <c r="AG185" s="8">
        <f t="shared" si="150"/>
        <v>0.88785368685891231</v>
      </c>
      <c r="AH185" s="7">
        <f>(((((AH179)+(AH180))+(AH181))+(AH182))+(AH183))+(AH184)</f>
        <v>2191.41</v>
      </c>
      <c r="AI185" s="7">
        <f>(((((AI179)+(AI180))+(AI181))+(AI182))+(AI183))+(AI184)</f>
        <v>2583.5</v>
      </c>
      <c r="AJ185" s="7">
        <f t="shared" si="151"/>
        <v>-392.09000000000015</v>
      </c>
      <c r="AK185" s="8">
        <f t="shared" si="152"/>
        <v>0.84823301722469513</v>
      </c>
      <c r="AL185" s="110">
        <f>(((((AL179)+(AL180))+(AL181))+(AL182))+(AL183))+(AL184)</f>
        <v>2252.0500000000002</v>
      </c>
      <c r="AM185" s="110">
        <f>(((((AM179)+(AM180))+(AM181))+(AM182))+(AM183))+(AM184)</f>
        <v>2583.5</v>
      </c>
      <c r="AN185" s="110">
        <f t="shared" si="153"/>
        <v>-331.44999999999982</v>
      </c>
      <c r="AO185" s="111">
        <f t="shared" si="154"/>
        <v>0.87170505128701381</v>
      </c>
      <c r="AP185" s="7">
        <f>(((((AP179)+(AP180))+(AP181))+(AP182))+(AP183))+(AP184)</f>
        <v>6148.23</v>
      </c>
      <c r="AQ185" s="7">
        <f>(((((AQ179)+(AQ180))+(AQ181))+(AQ182))+(AQ183))+(AQ184)</f>
        <v>2583.5</v>
      </c>
      <c r="AR185" s="7">
        <f t="shared" si="155"/>
        <v>3564.7299999999996</v>
      </c>
      <c r="AS185" s="8">
        <f t="shared" si="156"/>
        <v>2.3798064640990901</v>
      </c>
      <c r="AT185" s="7">
        <f>(((((AT179)+(AT180))+(AT181))+(AT182))+(AT183))+(AT184)</f>
        <v>2894.68</v>
      </c>
      <c r="AU185" s="7">
        <f>(((((AU179)+(AU180))+(AU181))+(AU182))+(AU183))+(AU184)</f>
        <v>2583.5</v>
      </c>
      <c r="AV185" s="7">
        <f t="shared" si="157"/>
        <v>311.17999999999984</v>
      </c>
      <c r="AW185" s="8">
        <f t="shared" si="158"/>
        <v>1.1204490032901102</v>
      </c>
      <c r="AX185" s="7">
        <f t="shared" si="159"/>
        <v>33670.189999999995</v>
      </c>
      <c r="AY185" s="7">
        <v>31002</v>
      </c>
      <c r="AZ185" s="7">
        <f t="shared" si="160"/>
        <v>2668.1899999999951</v>
      </c>
      <c r="BA185" s="8">
        <f t="shared" si="161"/>
        <v>1.0860650925746724</v>
      </c>
    </row>
    <row r="186" spans="1:53" x14ac:dyDescent="0.25">
      <c r="A186" s="3" t="s">
        <v>79</v>
      </c>
      <c r="B186" s="5">
        <f>1919</f>
        <v>1919</v>
      </c>
      <c r="C186" s="4"/>
      <c r="D186" s="5">
        <f t="shared" si="135"/>
        <v>1919</v>
      </c>
      <c r="E186" s="9" t="str">
        <f t="shared" si="136"/>
        <v/>
      </c>
      <c r="F186" s="5">
        <f>1919</f>
        <v>1919</v>
      </c>
      <c r="G186" s="4"/>
      <c r="H186" s="5">
        <f t="shared" si="137"/>
        <v>1919</v>
      </c>
      <c r="I186" s="9" t="str">
        <f t="shared" si="138"/>
        <v/>
      </c>
      <c r="J186" s="5">
        <f>1919</f>
        <v>1919</v>
      </c>
      <c r="K186" s="4"/>
      <c r="L186" s="5">
        <f t="shared" si="139"/>
        <v>1919</v>
      </c>
      <c r="M186" s="9" t="str">
        <f t="shared" si="140"/>
        <v/>
      </c>
      <c r="N186" s="5">
        <f>1919</f>
        <v>1919</v>
      </c>
      <c r="O186" s="4"/>
      <c r="P186" s="5">
        <f t="shared" si="141"/>
        <v>1919</v>
      </c>
      <c r="Q186" s="9" t="str">
        <f t="shared" si="142"/>
        <v/>
      </c>
      <c r="R186" s="5">
        <f>1919</f>
        <v>1919</v>
      </c>
      <c r="S186" s="4"/>
      <c r="T186" s="5">
        <f t="shared" si="143"/>
        <v>1919</v>
      </c>
      <c r="U186" s="9" t="str">
        <f t="shared" si="144"/>
        <v/>
      </c>
      <c r="V186" s="5">
        <f>1919</f>
        <v>1919</v>
      </c>
      <c r="W186" s="4"/>
      <c r="X186" s="5">
        <f t="shared" si="145"/>
        <v>1919</v>
      </c>
      <c r="Y186" s="9" t="str">
        <f t="shared" si="146"/>
        <v/>
      </c>
      <c r="Z186" s="4"/>
      <c r="AA186" s="4"/>
      <c r="AB186" s="5">
        <f t="shared" si="147"/>
        <v>0</v>
      </c>
      <c r="AC186" s="9" t="str">
        <f t="shared" si="148"/>
        <v/>
      </c>
      <c r="AD186" s="4"/>
      <c r="AE186" s="4"/>
      <c r="AF186" s="5">
        <f t="shared" si="149"/>
        <v>0</v>
      </c>
      <c r="AG186" s="9" t="str">
        <f t="shared" si="150"/>
        <v/>
      </c>
      <c r="AH186" s="4"/>
      <c r="AI186" s="4"/>
      <c r="AJ186" s="5">
        <f t="shared" si="151"/>
        <v>0</v>
      </c>
      <c r="AK186" s="9" t="str">
        <f t="shared" si="152"/>
        <v/>
      </c>
      <c r="AL186" s="107"/>
      <c r="AM186" s="107"/>
      <c r="AN186" s="108">
        <f t="shared" si="153"/>
        <v>0</v>
      </c>
      <c r="AO186" s="109" t="str">
        <f t="shared" si="154"/>
        <v/>
      </c>
      <c r="AP186" s="4"/>
      <c r="AQ186" s="4"/>
      <c r="AR186" s="5">
        <f t="shared" si="155"/>
        <v>0</v>
      </c>
      <c r="AS186" s="9" t="str">
        <f t="shared" si="156"/>
        <v/>
      </c>
      <c r="AT186" s="4"/>
      <c r="AU186" s="4"/>
      <c r="AV186" s="5">
        <f t="shared" si="157"/>
        <v>0</v>
      </c>
      <c r="AW186" s="9" t="str">
        <f t="shared" si="158"/>
        <v/>
      </c>
      <c r="AX186" s="5">
        <f t="shared" si="159"/>
        <v>11514</v>
      </c>
      <c r="AY186" s="5">
        <v>0</v>
      </c>
      <c r="AZ186" s="5">
        <f t="shared" si="160"/>
        <v>11514</v>
      </c>
      <c r="BA186" s="9" t="str">
        <f t="shared" si="161"/>
        <v/>
      </c>
    </row>
    <row r="187" spans="1:53" x14ac:dyDescent="0.25">
      <c r="A187" s="3" t="s">
        <v>78</v>
      </c>
      <c r="B187" s="7">
        <f>(((((((((((B36)+(B56))+(B66))+(B71))+(B78))+(B90))+(B130))+(B145))+(B171))+(B178))+(B185))+(B186)</f>
        <v>636146.05000000005</v>
      </c>
      <c r="C187" s="7">
        <f>(((((((((((C36)+(C56))+(C66))+(C71))+(C78))+(C90))+(C130))+(C145))+(C171))+(C178))+(C185))+(C186)</f>
        <v>567402.08000000007</v>
      </c>
      <c r="D187" s="7">
        <f t="shared" si="135"/>
        <v>68743.969999999972</v>
      </c>
      <c r="E187" s="8">
        <f t="shared" si="136"/>
        <v>1.1211556538530842</v>
      </c>
      <c r="F187" s="7">
        <f>(((((((((((F36)+(F56))+(F66))+(F71))+(F78))+(F90))+(F130))+(F145))+(F171))+(F178))+(F185))+(F186)</f>
        <v>477041.72000000003</v>
      </c>
      <c r="G187" s="7">
        <f>(((((((((((G36)+(G56))+(G66))+(G71))+(G78))+(G90))+(G130))+(G145))+(G171))+(G178))+(G185))+(G186)</f>
        <v>567402.08000000007</v>
      </c>
      <c r="H187" s="7">
        <f t="shared" si="137"/>
        <v>-90360.360000000044</v>
      </c>
      <c r="I187" s="8">
        <f t="shared" si="138"/>
        <v>0.84074721756395387</v>
      </c>
      <c r="J187" s="7">
        <f>(((((((((((J36)+(J56))+(J66))+(J71))+(J78))+(J90))+(J130))+(J145))+(J171))+(J178))+(J185))+(J186)</f>
        <v>504125.26999999996</v>
      </c>
      <c r="K187" s="7">
        <f>(((((((((((K36)+(K56))+(K66))+(K71))+(K78))+(K90))+(K130))+(K145))+(K171))+(K178))+(K185))+(K186)</f>
        <v>567402.08000000007</v>
      </c>
      <c r="L187" s="7">
        <f t="shared" si="139"/>
        <v>-63276.810000000114</v>
      </c>
      <c r="M187" s="8">
        <f t="shared" si="140"/>
        <v>0.88847977081790019</v>
      </c>
      <c r="N187" s="7">
        <f>(((((((((((N36)+(N56))+(N66))+(N71))+(N78))+(N90))+(N130))+(N145))+(N171))+(N178))+(N185))+(N186)</f>
        <v>495867.14999999997</v>
      </c>
      <c r="O187" s="7">
        <f>(((((((((((O36)+(O56))+(O66))+(O71))+(O78))+(O90))+(O130))+(O145))+(O171))+(O178))+(O185))+(O186)</f>
        <v>567402.08000000007</v>
      </c>
      <c r="P187" s="7">
        <f t="shared" si="141"/>
        <v>-71534.930000000109</v>
      </c>
      <c r="Q187" s="8">
        <f t="shared" si="142"/>
        <v>0.87392550623007925</v>
      </c>
      <c r="R187" s="7">
        <f>(((((((((((R36)+(R56))+(R66))+(R71))+(R78))+(R90))+(R130))+(R145))+(R171))+(R178))+(R185))+(R186)</f>
        <v>382914.09000000008</v>
      </c>
      <c r="S187" s="7">
        <f>(((((((((((S36)+(S56))+(S66))+(S71))+(S78))+(S90))+(S130))+(S145))+(S171))+(S178))+(S185))+(S186)</f>
        <v>567402.08000000007</v>
      </c>
      <c r="T187" s="7">
        <f t="shared" si="143"/>
        <v>-184487.99</v>
      </c>
      <c r="U187" s="8">
        <f t="shared" si="144"/>
        <v>0.67485492827238147</v>
      </c>
      <c r="V187" s="7">
        <f>(((((((((((V36)+(V56))+(V66))+(V71))+(V78))+(V90))+(V130))+(V145))+(V171))+(V178))+(V185))+(V186)</f>
        <v>424264.69999999995</v>
      </c>
      <c r="W187" s="7">
        <f>(((((((((((W36)+(W56))+(W66))+(W71))+(W78))+(W90))+(W130))+(W145))+(W171))+(W178))+(W185))+(W186)</f>
        <v>567402.08000000007</v>
      </c>
      <c r="X187" s="7">
        <f t="shared" si="145"/>
        <v>-143137.38000000012</v>
      </c>
      <c r="Y187" s="8">
        <f t="shared" si="146"/>
        <v>0.74773201395384359</v>
      </c>
      <c r="Z187" s="7">
        <f>(((((((((((Z36)+(Z56))+(Z66))+(Z71))+(Z78))+(Z90))+(Z130))+(Z145))+(Z171))+(Z178))+(Z185))+(Z186)</f>
        <v>629187.19999999995</v>
      </c>
      <c r="AA187" s="7">
        <f>(((((((((((AA36)+(AA56))+(AA66))+(AA71))+(AA78))+(AA90))+(AA130))+(AA145))+(AA171))+(AA178))+(AA185))+(AA186)</f>
        <v>567602.81999999995</v>
      </c>
      <c r="AB187" s="7">
        <f t="shared" si="147"/>
        <v>61584.380000000005</v>
      </c>
      <c r="AC187" s="8">
        <f t="shared" si="148"/>
        <v>1.1084990733485081</v>
      </c>
      <c r="AD187" s="7">
        <f>(((((((((((AD36)+(AD56))+(AD66))+(AD71))+(AD78))+(AD90))+(AD130))+(AD145))+(AD171))+(AD178))+(AD185))+(AD186)</f>
        <v>462181.5500000001</v>
      </c>
      <c r="AE187" s="7">
        <f>(((((((((((AE36)+(AE56))+(AE66))+(AE71))+(AE78))+(AE90))+(AE130))+(AE145))+(AE171))+(AE178))+(AE185))+(AE186)</f>
        <v>619342.62</v>
      </c>
      <c r="AF187" s="7">
        <f t="shared" si="149"/>
        <v>-157161.06999999989</v>
      </c>
      <c r="AG187" s="8">
        <f t="shared" si="150"/>
        <v>0.74624534962570488</v>
      </c>
      <c r="AH187" s="7">
        <f>(((((((((((AH36)+(AH56))+(AH66))+(AH71))+(AH78))+(AH90))+(AH130))+(AH145))+(AH171))+(AH178))+(AH185))+(AH186)</f>
        <v>594393.45000000007</v>
      </c>
      <c r="AI187" s="7">
        <f>(((((((((((AI36)+(AI56))+(AI66))+(AI71))+(AI78))+(AI90))+(AI130))+(AI145))+(AI171))+(AI178))+(AI185))+(AI186)</f>
        <v>619342.63</v>
      </c>
      <c r="AJ187" s="7">
        <f t="shared" si="151"/>
        <v>-24949.179999999935</v>
      </c>
      <c r="AK187" s="8">
        <f t="shared" si="152"/>
        <v>0.95971667572761798</v>
      </c>
      <c r="AL187" s="110">
        <f>(((((((((((AL36)+(AL56))+(AL66))+(AL71))+(AL78))+(AL90))+(AL130))+(AL145))+(AL171))+(AL178))+(AL185))+(AL186)</f>
        <v>426424.62</v>
      </c>
      <c r="AM187" s="110">
        <f>(((((((((((AM36)+(AM56))+(AM66))+(AM71))+(AM78))+(AM90))+(AM130))+(AM145))+(AM171))+(AM178))+(AM185))+(AM186)</f>
        <v>622702.33000000007</v>
      </c>
      <c r="AN187" s="110">
        <f t="shared" si="153"/>
        <v>-196277.71000000008</v>
      </c>
      <c r="AO187" s="111">
        <f t="shared" si="154"/>
        <v>0.68479689163841728</v>
      </c>
      <c r="AP187" s="7">
        <f>(((((((((((AP36)+(AP56))+(AP66))+(AP71))+(AP78))+(AP90))+(AP130))+(AP145))+(AP171))+(AP178))+(AP185))+(AP186)</f>
        <v>229175.69000000003</v>
      </c>
      <c r="AQ187" s="7">
        <f>(((((((((((AQ36)+(AQ56))+(AQ66))+(AQ71))+(AQ78))+(AQ90))+(AQ130))+(AQ145))+(AQ171))+(AQ178))+(AQ185))+(AQ186)</f>
        <v>627342.51</v>
      </c>
      <c r="AR187" s="7">
        <f t="shared" si="155"/>
        <v>-398166.81999999995</v>
      </c>
      <c r="AS187" s="8">
        <f t="shared" si="156"/>
        <v>0.36531190911962913</v>
      </c>
      <c r="AT187" s="7">
        <f>(((((((((((AT36)+(AT56))+(AT66))+(AT71))+(AT78))+(AT90))+(AT130))+(AT145))+(AT171))+(AT178))+(AT185))+(AT186)</f>
        <v>77775.91</v>
      </c>
      <c r="AU187" s="7">
        <f>(((((((((((AU36)+(AU56))+(AU66))+(AU71))+(AU78))+(AU90))+(AU130))+(AU145))+(AU171))+(AU178))+(AU185))+(AU186)</f>
        <v>694682.6100000001</v>
      </c>
      <c r="AV187" s="7">
        <f t="shared" si="157"/>
        <v>-616906.70000000007</v>
      </c>
      <c r="AW187" s="8">
        <f t="shared" si="158"/>
        <v>0.11195891315028023</v>
      </c>
      <c r="AX187" s="7">
        <f t="shared" si="159"/>
        <v>5339497.4000000013</v>
      </c>
      <c r="AY187" s="7">
        <v>7155428</v>
      </c>
      <c r="AZ187" s="7">
        <f t="shared" si="160"/>
        <v>-1815930.5999999987</v>
      </c>
      <c r="BA187" s="8">
        <f t="shared" si="161"/>
        <v>0.74621635491266225</v>
      </c>
    </row>
    <row r="188" spans="1:53" x14ac:dyDescent="0.25">
      <c r="A188" s="3" t="s">
        <v>77</v>
      </c>
      <c r="B188" s="5">
        <f>5585.61</f>
        <v>5585.61</v>
      </c>
      <c r="C188" s="4"/>
      <c r="D188" s="5">
        <f t="shared" si="135"/>
        <v>5585.61</v>
      </c>
      <c r="E188" s="9" t="str">
        <f t="shared" si="136"/>
        <v/>
      </c>
      <c r="F188" s="5">
        <f>0</f>
        <v>0</v>
      </c>
      <c r="G188" s="4"/>
      <c r="H188" s="5">
        <f t="shared" si="137"/>
        <v>0</v>
      </c>
      <c r="I188" s="9" t="str">
        <f t="shared" si="138"/>
        <v/>
      </c>
      <c r="J188" s="5">
        <f>0</f>
        <v>0</v>
      </c>
      <c r="K188" s="4"/>
      <c r="L188" s="5">
        <f t="shared" si="139"/>
        <v>0</v>
      </c>
      <c r="M188" s="9" t="str">
        <f t="shared" si="140"/>
        <v/>
      </c>
      <c r="N188" s="5">
        <f>0</f>
        <v>0</v>
      </c>
      <c r="O188" s="4"/>
      <c r="P188" s="5">
        <f t="shared" si="141"/>
        <v>0</v>
      </c>
      <c r="Q188" s="9" t="str">
        <f t="shared" si="142"/>
        <v/>
      </c>
      <c r="R188" s="4"/>
      <c r="S188" s="4"/>
      <c r="T188" s="5">
        <f t="shared" si="143"/>
        <v>0</v>
      </c>
      <c r="U188" s="9" t="str">
        <f t="shared" si="144"/>
        <v/>
      </c>
      <c r="V188" s="4"/>
      <c r="W188" s="4"/>
      <c r="X188" s="5">
        <f t="shared" si="145"/>
        <v>0</v>
      </c>
      <c r="Y188" s="9" t="str">
        <f t="shared" si="146"/>
        <v/>
      </c>
      <c r="Z188" s="4"/>
      <c r="AA188" s="4"/>
      <c r="AB188" s="5">
        <f t="shared" si="147"/>
        <v>0</v>
      </c>
      <c r="AC188" s="9" t="str">
        <f t="shared" si="148"/>
        <v/>
      </c>
      <c r="AD188" s="4"/>
      <c r="AE188" s="4"/>
      <c r="AF188" s="5">
        <f t="shared" si="149"/>
        <v>0</v>
      </c>
      <c r="AG188" s="9" t="str">
        <f t="shared" si="150"/>
        <v/>
      </c>
      <c r="AH188" s="4"/>
      <c r="AI188" s="4"/>
      <c r="AJ188" s="5">
        <f t="shared" si="151"/>
        <v>0</v>
      </c>
      <c r="AK188" s="9" t="str">
        <f t="shared" si="152"/>
        <v/>
      </c>
      <c r="AL188" s="107"/>
      <c r="AM188" s="107"/>
      <c r="AN188" s="108">
        <f t="shared" si="153"/>
        <v>0</v>
      </c>
      <c r="AO188" s="109" t="str">
        <f t="shared" si="154"/>
        <v/>
      </c>
      <c r="AP188" s="4"/>
      <c r="AQ188" s="4"/>
      <c r="AR188" s="5">
        <f t="shared" si="155"/>
        <v>0</v>
      </c>
      <c r="AS188" s="9" t="str">
        <f t="shared" si="156"/>
        <v/>
      </c>
      <c r="AT188" s="4"/>
      <c r="AU188" s="4"/>
      <c r="AV188" s="5">
        <f t="shared" si="157"/>
        <v>0</v>
      </c>
      <c r="AW188" s="9" t="str">
        <f t="shared" si="158"/>
        <v/>
      </c>
      <c r="AX188" s="5">
        <f t="shared" si="159"/>
        <v>5585.61</v>
      </c>
      <c r="AY188" s="5">
        <v>0</v>
      </c>
      <c r="AZ188" s="5">
        <f t="shared" si="160"/>
        <v>5585.61</v>
      </c>
      <c r="BA188" s="9" t="str">
        <f t="shared" si="161"/>
        <v/>
      </c>
    </row>
    <row r="189" spans="1:53" x14ac:dyDescent="0.25">
      <c r="A189" s="3" t="s">
        <v>76</v>
      </c>
      <c r="B189" s="4"/>
      <c r="C189" s="4"/>
      <c r="D189" s="5">
        <f t="shared" si="135"/>
        <v>0</v>
      </c>
      <c r="E189" s="9" t="str">
        <f t="shared" si="136"/>
        <v/>
      </c>
      <c r="F189" s="4"/>
      <c r="G189" s="4"/>
      <c r="H189" s="5">
        <f t="shared" si="137"/>
        <v>0</v>
      </c>
      <c r="I189" s="9" t="str">
        <f t="shared" si="138"/>
        <v/>
      </c>
      <c r="J189" s="4"/>
      <c r="K189" s="4"/>
      <c r="L189" s="5">
        <f t="shared" si="139"/>
        <v>0</v>
      </c>
      <c r="M189" s="9" t="str">
        <f t="shared" si="140"/>
        <v/>
      </c>
      <c r="N189" s="4"/>
      <c r="O189" s="4"/>
      <c r="P189" s="5">
        <f t="shared" si="141"/>
        <v>0</v>
      </c>
      <c r="Q189" s="9" t="str">
        <f t="shared" si="142"/>
        <v/>
      </c>
      <c r="R189" s="4"/>
      <c r="S189" s="4"/>
      <c r="T189" s="5">
        <f t="shared" si="143"/>
        <v>0</v>
      </c>
      <c r="U189" s="9" t="str">
        <f t="shared" si="144"/>
        <v/>
      </c>
      <c r="V189" s="4"/>
      <c r="W189" s="4"/>
      <c r="X189" s="5">
        <f t="shared" si="145"/>
        <v>0</v>
      </c>
      <c r="Y189" s="9" t="str">
        <f t="shared" si="146"/>
        <v/>
      </c>
      <c r="Z189" s="5">
        <f>7267.27</f>
        <v>7267.27</v>
      </c>
      <c r="AA189" s="4"/>
      <c r="AB189" s="5">
        <f t="shared" si="147"/>
        <v>7267.27</v>
      </c>
      <c r="AC189" s="9" t="str">
        <f t="shared" si="148"/>
        <v/>
      </c>
      <c r="AD189" s="5">
        <f>5237.84</f>
        <v>5237.84</v>
      </c>
      <c r="AE189" s="4"/>
      <c r="AF189" s="5">
        <f t="shared" si="149"/>
        <v>5237.84</v>
      </c>
      <c r="AG189" s="9" t="str">
        <f t="shared" si="150"/>
        <v/>
      </c>
      <c r="AH189" s="5">
        <f>7374.7</f>
        <v>7374.7</v>
      </c>
      <c r="AI189" s="4"/>
      <c r="AJ189" s="5">
        <f t="shared" si="151"/>
        <v>7374.7</v>
      </c>
      <c r="AK189" s="9" t="str">
        <f t="shared" si="152"/>
        <v/>
      </c>
      <c r="AL189" s="108">
        <f>4923.56</f>
        <v>4923.5600000000004</v>
      </c>
      <c r="AM189" s="107"/>
      <c r="AN189" s="108">
        <f t="shared" si="153"/>
        <v>4923.5600000000004</v>
      </c>
      <c r="AO189" s="109" t="str">
        <f t="shared" si="154"/>
        <v/>
      </c>
      <c r="AP189" s="4"/>
      <c r="AQ189" s="4"/>
      <c r="AR189" s="5">
        <f t="shared" si="155"/>
        <v>0</v>
      </c>
      <c r="AS189" s="9" t="str">
        <f t="shared" si="156"/>
        <v/>
      </c>
      <c r="AT189" s="4"/>
      <c r="AU189" s="4"/>
      <c r="AV189" s="5">
        <f t="shared" si="157"/>
        <v>0</v>
      </c>
      <c r="AW189" s="9" t="str">
        <f t="shared" si="158"/>
        <v/>
      </c>
      <c r="AX189" s="5">
        <f t="shared" si="159"/>
        <v>24803.370000000003</v>
      </c>
      <c r="AY189" s="5">
        <v>0</v>
      </c>
      <c r="AZ189" s="5">
        <f t="shared" si="160"/>
        <v>24803.370000000003</v>
      </c>
      <c r="BA189" s="9" t="str">
        <f t="shared" si="161"/>
        <v/>
      </c>
    </row>
    <row r="190" spans="1:53" x14ac:dyDescent="0.25">
      <c r="A190" s="3" t="s">
        <v>75</v>
      </c>
      <c r="B190" s="5">
        <f>6637.84</f>
        <v>6637.84</v>
      </c>
      <c r="C190" s="5">
        <f>5237.84</f>
        <v>5237.84</v>
      </c>
      <c r="D190" s="5">
        <f t="shared" si="135"/>
        <v>1400</v>
      </c>
      <c r="E190" s="9">
        <f t="shared" si="136"/>
        <v>1.2672857513784308</v>
      </c>
      <c r="F190" s="5">
        <f>5237.84</f>
        <v>5237.84</v>
      </c>
      <c r="G190" s="5">
        <f>5237.84</f>
        <v>5237.84</v>
      </c>
      <c r="H190" s="5">
        <f t="shared" si="137"/>
        <v>0</v>
      </c>
      <c r="I190" s="9">
        <f t="shared" si="138"/>
        <v>1</v>
      </c>
      <c r="J190" s="5">
        <f>5237.84</f>
        <v>5237.84</v>
      </c>
      <c r="K190" s="5">
        <f>5237.84</f>
        <v>5237.84</v>
      </c>
      <c r="L190" s="5">
        <f t="shared" si="139"/>
        <v>0</v>
      </c>
      <c r="M190" s="9">
        <f t="shared" si="140"/>
        <v>1</v>
      </c>
      <c r="N190" s="5">
        <f>5237.84</f>
        <v>5237.84</v>
      </c>
      <c r="O190" s="5">
        <f>5237.84</f>
        <v>5237.84</v>
      </c>
      <c r="P190" s="5">
        <f t="shared" si="141"/>
        <v>0</v>
      </c>
      <c r="Q190" s="9">
        <f t="shared" si="142"/>
        <v>1</v>
      </c>
      <c r="R190" s="5">
        <f>5237.84</f>
        <v>5237.84</v>
      </c>
      <c r="S190" s="5">
        <f>5237.84</f>
        <v>5237.84</v>
      </c>
      <c r="T190" s="5">
        <f t="shared" si="143"/>
        <v>0</v>
      </c>
      <c r="U190" s="9">
        <f t="shared" si="144"/>
        <v>1</v>
      </c>
      <c r="V190" s="5">
        <f>5487.84</f>
        <v>5487.84</v>
      </c>
      <c r="W190" s="5">
        <f>5237.84</f>
        <v>5237.84</v>
      </c>
      <c r="X190" s="5">
        <f t="shared" si="145"/>
        <v>250</v>
      </c>
      <c r="Y190" s="9">
        <f t="shared" si="146"/>
        <v>1.047729598460434</v>
      </c>
      <c r="Z190" s="4"/>
      <c r="AA190" s="5">
        <f>5237.84</f>
        <v>5237.84</v>
      </c>
      <c r="AB190" s="5">
        <f t="shared" si="147"/>
        <v>-5237.84</v>
      </c>
      <c r="AC190" s="9">
        <f t="shared" si="148"/>
        <v>0</v>
      </c>
      <c r="AD190" s="4"/>
      <c r="AE190" s="5">
        <f>5237.84</f>
        <v>5237.84</v>
      </c>
      <c r="AF190" s="5">
        <f t="shared" si="149"/>
        <v>-5237.84</v>
      </c>
      <c r="AG190" s="9">
        <f t="shared" si="150"/>
        <v>0</v>
      </c>
      <c r="AH190" s="4"/>
      <c r="AI190" s="5">
        <f>5237.84</f>
        <v>5237.84</v>
      </c>
      <c r="AJ190" s="5">
        <f t="shared" si="151"/>
        <v>-5237.84</v>
      </c>
      <c r="AK190" s="9">
        <f t="shared" si="152"/>
        <v>0</v>
      </c>
      <c r="AL190" s="107"/>
      <c r="AM190" s="108">
        <f>5237.84</f>
        <v>5237.84</v>
      </c>
      <c r="AN190" s="108">
        <f t="shared" si="153"/>
        <v>-5237.84</v>
      </c>
      <c r="AO190" s="109">
        <f t="shared" si="154"/>
        <v>0</v>
      </c>
      <c r="AP190" s="4"/>
      <c r="AQ190" s="5">
        <f>5237.84</f>
        <v>5237.84</v>
      </c>
      <c r="AR190" s="5">
        <f t="shared" si="155"/>
        <v>-5237.84</v>
      </c>
      <c r="AS190" s="9">
        <f t="shared" si="156"/>
        <v>0</v>
      </c>
      <c r="AT190" s="4"/>
      <c r="AU190" s="5">
        <f>5237.76</f>
        <v>5237.76</v>
      </c>
      <c r="AV190" s="5">
        <f t="shared" si="157"/>
        <v>-5237.76</v>
      </c>
      <c r="AW190" s="9">
        <f t="shared" si="158"/>
        <v>0</v>
      </c>
      <c r="AX190" s="5">
        <f t="shared" si="159"/>
        <v>33077.040000000001</v>
      </c>
      <c r="AY190" s="5">
        <v>62853.999999999993</v>
      </c>
      <c r="AZ190" s="5">
        <f t="shared" si="160"/>
        <v>-29776.959999999992</v>
      </c>
      <c r="BA190" s="9">
        <f t="shared" si="161"/>
        <v>0.52625194896108451</v>
      </c>
    </row>
    <row r="191" spans="1:53" x14ac:dyDescent="0.25">
      <c r="A191" s="3" t="s">
        <v>74</v>
      </c>
      <c r="B191" s="4"/>
      <c r="C191" s="5">
        <f>0</f>
        <v>0</v>
      </c>
      <c r="D191" s="5">
        <f t="shared" si="135"/>
        <v>0</v>
      </c>
      <c r="E191" s="9" t="str">
        <f t="shared" si="136"/>
        <v/>
      </c>
      <c r="F191" s="4"/>
      <c r="G191" s="5">
        <f>0</f>
        <v>0</v>
      </c>
      <c r="H191" s="5">
        <f t="shared" si="137"/>
        <v>0</v>
      </c>
      <c r="I191" s="9" t="str">
        <f t="shared" si="138"/>
        <v/>
      </c>
      <c r="J191" s="4"/>
      <c r="K191" s="5">
        <f>0</f>
        <v>0</v>
      </c>
      <c r="L191" s="5">
        <f t="shared" si="139"/>
        <v>0</v>
      </c>
      <c r="M191" s="9" t="str">
        <f t="shared" si="140"/>
        <v/>
      </c>
      <c r="N191" s="4"/>
      <c r="O191" s="5">
        <f>0</f>
        <v>0</v>
      </c>
      <c r="P191" s="5">
        <f t="shared" si="141"/>
        <v>0</v>
      </c>
      <c r="Q191" s="9" t="str">
        <f t="shared" si="142"/>
        <v/>
      </c>
      <c r="R191" s="4"/>
      <c r="S191" s="5">
        <f>0</f>
        <v>0</v>
      </c>
      <c r="T191" s="5">
        <f t="shared" si="143"/>
        <v>0</v>
      </c>
      <c r="U191" s="9" t="str">
        <f t="shared" si="144"/>
        <v/>
      </c>
      <c r="V191" s="4"/>
      <c r="W191" s="5">
        <f>0</f>
        <v>0</v>
      </c>
      <c r="X191" s="5">
        <f t="shared" si="145"/>
        <v>0</v>
      </c>
      <c r="Y191" s="9" t="str">
        <f t="shared" si="146"/>
        <v/>
      </c>
      <c r="Z191" s="4"/>
      <c r="AA191" s="5">
        <f>0</f>
        <v>0</v>
      </c>
      <c r="AB191" s="5">
        <f t="shared" si="147"/>
        <v>0</v>
      </c>
      <c r="AC191" s="9" t="str">
        <f t="shared" si="148"/>
        <v/>
      </c>
      <c r="AD191" s="5">
        <f>54.99</f>
        <v>54.99</v>
      </c>
      <c r="AE191" s="5">
        <f>0</f>
        <v>0</v>
      </c>
      <c r="AF191" s="5">
        <f t="shared" si="149"/>
        <v>54.99</v>
      </c>
      <c r="AG191" s="9" t="str">
        <f t="shared" si="150"/>
        <v/>
      </c>
      <c r="AH191" s="4"/>
      <c r="AI191" s="5">
        <f>0</f>
        <v>0</v>
      </c>
      <c r="AJ191" s="5">
        <f t="shared" si="151"/>
        <v>0</v>
      </c>
      <c r="AK191" s="9" t="str">
        <f t="shared" si="152"/>
        <v/>
      </c>
      <c r="AL191" s="107"/>
      <c r="AM191" s="108">
        <f>0</f>
        <v>0</v>
      </c>
      <c r="AN191" s="108">
        <f t="shared" si="153"/>
        <v>0</v>
      </c>
      <c r="AO191" s="109" t="str">
        <f t="shared" si="154"/>
        <v/>
      </c>
      <c r="AP191" s="4"/>
      <c r="AQ191" s="5">
        <f>0</f>
        <v>0</v>
      </c>
      <c r="AR191" s="5">
        <f t="shared" si="155"/>
        <v>0</v>
      </c>
      <c r="AS191" s="9" t="str">
        <f t="shared" si="156"/>
        <v/>
      </c>
      <c r="AT191" s="4"/>
      <c r="AU191" s="5">
        <f>22898</f>
        <v>22898</v>
      </c>
      <c r="AV191" s="5">
        <f t="shared" si="157"/>
        <v>-22898</v>
      </c>
      <c r="AW191" s="9">
        <f t="shared" si="158"/>
        <v>0</v>
      </c>
      <c r="AX191" s="5">
        <f t="shared" si="159"/>
        <v>54.99</v>
      </c>
      <c r="AY191" s="5">
        <v>22898</v>
      </c>
      <c r="AZ191" s="5">
        <f t="shared" si="160"/>
        <v>-22843.01</v>
      </c>
      <c r="BA191" s="9">
        <f t="shared" si="161"/>
        <v>2.4015197833871954E-3</v>
      </c>
    </row>
    <row r="192" spans="1:53" x14ac:dyDescent="0.25">
      <c r="A192" s="3" t="s">
        <v>73</v>
      </c>
      <c r="B192" s="5"/>
      <c r="C192" s="5">
        <f>0</f>
        <v>0</v>
      </c>
      <c r="D192" s="5">
        <f t="shared" si="135"/>
        <v>0</v>
      </c>
      <c r="E192" s="9" t="str">
        <f t="shared" si="136"/>
        <v/>
      </c>
      <c r="F192" s="5"/>
      <c r="G192" s="5">
        <f>0</f>
        <v>0</v>
      </c>
      <c r="H192" s="5">
        <f t="shared" si="137"/>
        <v>0</v>
      </c>
      <c r="I192" s="9" t="str">
        <f t="shared" si="138"/>
        <v/>
      </c>
      <c r="J192" s="5"/>
      <c r="K192" s="5">
        <f>0</f>
        <v>0</v>
      </c>
      <c r="L192" s="5">
        <f t="shared" si="139"/>
        <v>0</v>
      </c>
      <c r="M192" s="9" t="str">
        <f t="shared" si="140"/>
        <v/>
      </c>
      <c r="N192" s="5"/>
      <c r="O192" s="5">
        <f>0</f>
        <v>0</v>
      </c>
      <c r="P192" s="5">
        <f t="shared" si="141"/>
        <v>0</v>
      </c>
      <c r="Q192" s="9" t="str">
        <f t="shared" si="142"/>
        <v/>
      </c>
      <c r="R192" s="5"/>
      <c r="S192" s="5">
        <f>0</f>
        <v>0</v>
      </c>
      <c r="T192" s="5">
        <f t="shared" si="143"/>
        <v>0</v>
      </c>
      <c r="U192" s="9" t="str">
        <f t="shared" si="144"/>
        <v/>
      </c>
      <c r="V192" s="5">
        <f>0</f>
        <v>0</v>
      </c>
      <c r="W192" s="5">
        <f>0</f>
        <v>0</v>
      </c>
      <c r="X192" s="5">
        <f t="shared" si="145"/>
        <v>0</v>
      </c>
      <c r="Y192" s="9" t="str">
        <f t="shared" si="146"/>
        <v/>
      </c>
      <c r="Z192" s="5">
        <f>4993.16</f>
        <v>4993.16</v>
      </c>
      <c r="AA192" s="5">
        <f>3166.67</f>
        <v>3166.67</v>
      </c>
      <c r="AB192" s="5">
        <f t="shared" si="147"/>
        <v>1826.4899999999998</v>
      </c>
      <c r="AC192" s="9">
        <f t="shared" si="148"/>
        <v>1.5767857086466224</v>
      </c>
      <c r="AD192" s="5">
        <f>3166.68</f>
        <v>3166.68</v>
      </c>
      <c r="AE192" s="5">
        <f>3166.67</f>
        <v>3166.67</v>
      </c>
      <c r="AF192" s="5">
        <f t="shared" si="149"/>
        <v>9.9999999997635314E-3</v>
      </c>
      <c r="AG192" s="9">
        <f t="shared" si="150"/>
        <v>1.0000031578914126</v>
      </c>
      <c r="AH192" s="5">
        <f>3166.68</f>
        <v>3166.68</v>
      </c>
      <c r="AI192" s="5">
        <f>3166.67</f>
        <v>3166.67</v>
      </c>
      <c r="AJ192" s="5">
        <f t="shared" si="151"/>
        <v>9.9999999997635314E-3</v>
      </c>
      <c r="AK192" s="9">
        <f t="shared" si="152"/>
        <v>1.0000031578914126</v>
      </c>
      <c r="AL192" s="108">
        <f>3166.68</f>
        <v>3166.68</v>
      </c>
      <c r="AM192" s="108">
        <f>3166.67</f>
        <v>3166.67</v>
      </c>
      <c r="AN192" s="108">
        <f t="shared" si="153"/>
        <v>9.9999999997635314E-3</v>
      </c>
      <c r="AO192" s="109">
        <f t="shared" si="154"/>
        <v>1.0000031578914126</v>
      </c>
      <c r="AP192" s="4"/>
      <c r="AQ192" s="5">
        <f>3166.67</f>
        <v>3166.67</v>
      </c>
      <c r="AR192" s="5">
        <f t="shared" si="155"/>
        <v>-3166.67</v>
      </c>
      <c r="AS192" s="9">
        <f t="shared" si="156"/>
        <v>0</v>
      </c>
      <c r="AT192" s="4"/>
      <c r="AU192" s="5">
        <f>3166.65</f>
        <v>3166.65</v>
      </c>
      <c r="AV192" s="5">
        <f t="shared" si="157"/>
        <v>-3166.65</v>
      </c>
      <c r="AW192" s="9">
        <f t="shared" si="158"/>
        <v>0</v>
      </c>
      <c r="AX192" s="5">
        <f t="shared" si="159"/>
        <v>14493.2</v>
      </c>
      <c r="AY192" s="5">
        <v>19000</v>
      </c>
      <c r="AZ192" s="5">
        <f t="shared" si="160"/>
        <v>-4506.7999999999993</v>
      </c>
      <c r="BA192" s="9">
        <f t="shared" si="161"/>
        <v>0.76280000000000003</v>
      </c>
    </row>
    <row r="193" spans="1:53" x14ac:dyDescent="0.25">
      <c r="A193" s="3" t="s">
        <v>72</v>
      </c>
      <c r="B193" s="7">
        <f>(((B189)+(B190))+(B191))+(B192)</f>
        <v>6637.84</v>
      </c>
      <c r="C193" s="7">
        <f>(((C189)+(C190))+(C191))+(C192)</f>
        <v>5237.84</v>
      </c>
      <c r="D193" s="7">
        <f t="shared" si="135"/>
        <v>1400</v>
      </c>
      <c r="E193" s="8">
        <f t="shared" si="136"/>
        <v>1.2672857513784308</v>
      </c>
      <c r="F193" s="7">
        <f>(((F189)+(F190))+(F191))+(F192)</f>
        <v>5237.84</v>
      </c>
      <c r="G193" s="7">
        <f>(((G189)+(G190))+(G191))+(G192)</f>
        <v>5237.84</v>
      </c>
      <c r="H193" s="7">
        <f t="shared" si="137"/>
        <v>0</v>
      </c>
      <c r="I193" s="8">
        <f t="shared" si="138"/>
        <v>1</v>
      </c>
      <c r="J193" s="7">
        <f>(((J189)+(J190))+(J191))+(J192)</f>
        <v>5237.84</v>
      </c>
      <c r="K193" s="7">
        <f>(((K189)+(K190))+(K191))+(K192)</f>
        <v>5237.84</v>
      </c>
      <c r="L193" s="7">
        <f t="shared" si="139"/>
        <v>0</v>
      </c>
      <c r="M193" s="8">
        <f t="shared" si="140"/>
        <v>1</v>
      </c>
      <c r="N193" s="7">
        <f>(((N189)+(N190))+(N191))+(N192)</f>
        <v>5237.84</v>
      </c>
      <c r="O193" s="7">
        <f>(((O189)+(O190))+(O191))+(O192)</f>
        <v>5237.84</v>
      </c>
      <c r="P193" s="7">
        <f t="shared" si="141"/>
        <v>0</v>
      </c>
      <c r="Q193" s="8">
        <f t="shared" si="142"/>
        <v>1</v>
      </c>
      <c r="R193" s="7">
        <f>(((R189)+(R190))+(R191))+(R192)</f>
        <v>5237.84</v>
      </c>
      <c r="S193" s="7">
        <f>(((S189)+(S190))+(S191))+(S192)</f>
        <v>5237.84</v>
      </c>
      <c r="T193" s="7">
        <f t="shared" si="143"/>
        <v>0</v>
      </c>
      <c r="U193" s="8">
        <f t="shared" si="144"/>
        <v>1</v>
      </c>
      <c r="V193" s="7">
        <f>(((V189)+(V190))+(V191))+(V192)</f>
        <v>5487.84</v>
      </c>
      <c r="W193" s="7">
        <f>(((W189)+(W190))+(W191))+(W192)</f>
        <v>5237.84</v>
      </c>
      <c r="X193" s="7">
        <f t="shared" si="145"/>
        <v>250</v>
      </c>
      <c r="Y193" s="8">
        <f t="shared" si="146"/>
        <v>1.047729598460434</v>
      </c>
      <c r="Z193" s="7">
        <f>(((Z189)+(Z190))+(Z191))+(Z192)</f>
        <v>12260.43</v>
      </c>
      <c r="AA193" s="7">
        <f>(((AA189)+(AA190))+(AA191))+(AA192)</f>
        <v>8404.51</v>
      </c>
      <c r="AB193" s="7">
        <f t="shared" si="147"/>
        <v>3855.92</v>
      </c>
      <c r="AC193" s="8">
        <f t="shared" si="148"/>
        <v>1.4587917677532658</v>
      </c>
      <c r="AD193" s="7">
        <f>(((AD189)+(AD190))+(AD191))+(AD192)</f>
        <v>8459.51</v>
      </c>
      <c r="AE193" s="7">
        <f>(((AE189)+(AE190))+(AE191))+(AE192)</f>
        <v>8404.51</v>
      </c>
      <c r="AF193" s="7">
        <f t="shared" si="149"/>
        <v>55</v>
      </c>
      <c r="AG193" s="8">
        <f t="shared" si="150"/>
        <v>1.0065441054862212</v>
      </c>
      <c r="AH193" s="7">
        <f>(((AH189)+(AH190))+(AH191))+(AH192)</f>
        <v>10541.38</v>
      </c>
      <c r="AI193" s="7">
        <f>(((AI189)+(AI190))+(AI191))+(AI192)</f>
        <v>8404.51</v>
      </c>
      <c r="AJ193" s="7">
        <f t="shared" si="151"/>
        <v>2136.869999999999</v>
      </c>
      <c r="AK193" s="8">
        <f t="shared" si="152"/>
        <v>1.2542527761880227</v>
      </c>
      <c r="AL193" s="110">
        <f>(((AL189)+(AL190))+(AL191))+(AL192)</f>
        <v>8090.24</v>
      </c>
      <c r="AM193" s="110">
        <f>(((AM189)+(AM190))+(AM191))+(AM192)</f>
        <v>8404.51</v>
      </c>
      <c r="AN193" s="110">
        <f t="shared" si="153"/>
        <v>-314.27000000000044</v>
      </c>
      <c r="AO193" s="111">
        <f t="shared" si="154"/>
        <v>0.96260698125173261</v>
      </c>
      <c r="AP193" s="7">
        <f>(((AP189)+(AP190))+(AP191))+(AP192)</f>
        <v>0</v>
      </c>
      <c r="AQ193" s="7">
        <f>(((AQ189)+(AQ190))+(AQ191))+(AQ192)</f>
        <v>8404.51</v>
      </c>
      <c r="AR193" s="7">
        <f t="shared" si="155"/>
        <v>-8404.51</v>
      </c>
      <c r="AS193" s="8">
        <f t="shared" si="156"/>
        <v>0</v>
      </c>
      <c r="AT193" s="7">
        <f>(((AT189)+(AT190))+(AT191))+(AT192)</f>
        <v>0</v>
      </c>
      <c r="AU193" s="7">
        <f>(((AU189)+(AU190))+(AU191))+(AU192)</f>
        <v>31302.410000000003</v>
      </c>
      <c r="AV193" s="7">
        <f t="shared" si="157"/>
        <v>-31302.410000000003</v>
      </c>
      <c r="AW193" s="8">
        <f t="shared" si="158"/>
        <v>0</v>
      </c>
      <c r="AX193" s="7">
        <f t="shared" si="159"/>
        <v>72428.600000000006</v>
      </c>
      <c r="AY193" s="7">
        <v>104752.00000000001</v>
      </c>
      <c r="AZ193" s="7">
        <f t="shared" si="160"/>
        <v>-32323.400000000009</v>
      </c>
      <c r="BA193" s="8">
        <f t="shared" si="161"/>
        <v>0.69142928058652819</v>
      </c>
    </row>
    <row r="194" spans="1:53" x14ac:dyDescent="0.25">
      <c r="A194" s="3" t="s">
        <v>71</v>
      </c>
      <c r="B194" s="4"/>
      <c r="C194" s="4"/>
      <c r="D194" s="5">
        <f t="shared" si="135"/>
        <v>0</v>
      </c>
      <c r="E194" s="9" t="str">
        <f t="shared" si="136"/>
        <v/>
      </c>
      <c r="F194" s="4"/>
      <c r="G194" s="4"/>
      <c r="H194" s="5">
        <f t="shared" si="137"/>
        <v>0</v>
      </c>
      <c r="I194" s="9" t="str">
        <f t="shared" si="138"/>
        <v/>
      </c>
      <c r="J194" s="4"/>
      <c r="K194" s="4"/>
      <c r="L194" s="5">
        <f t="shared" si="139"/>
        <v>0</v>
      </c>
      <c r="M194" s="9" t="str">
        <f t="shared" si="140"/>
        <v/>
      </c>
      <c r="N194" s="4"/>
      <c r="O194" s="4"/>
      <c r="P194" s="5">
        <f t="shared" si="141"/>
        <v>0</v>
      </c>
      <c r="Q194" s="9" t="str">
        <f t="shared" si="142"/>
        <v/>
      </c>
      <c r="R194" s="4"/>
      <c r="S194" s="4"/>
      <c r="T194" s="5">
        <f t="shared" si="143"/>
        <v>0</v>
      </c>
      <c r="U194" s="9" t="str">
        <f t="shared" si="144"/>
        <v/>
      </c>
      <c r="V194" s="4"/>
      <c r="W194" s="4"/>
      <c r="X194" s="5">
        <f t="shared" si="145"/>
        <v>0</v>
      </c>
      <c r="Y194" s="9" t="str">
        <f t="shared" si="146"/>
        <v/>
      </c>
      <c r="Z194" s="4"/>
      <c r="AA194" s="4"/>
      <c r="AB194" s="5">
        <f t="shared" si="147"/>
        <v>0</v>
      </c>
      <c r="AC194" s="9" t="str">
        <f t="shared" si="148"/>
        <v/>
      </c>
      <c r="AD194" s="5">
        <f>97.68</f>
        <v>97.68</v>
      </c>
      <c r="AE194" s="4"/>
      <c r="AF194" s="5">
        <f t="shared" si="149"/>
        <v>97.68</v>
      </c>
      <c r="AG194" s="9" t="str">
        <f t="shared" si="150"/>
        <v/>
      </c>
      <c r="AH194" s="5">
        <f>31504.47</f>
        <v>31504.47</v>
      </c>
      <c r="AI194" s="4"/>
      <c r="AJ194" s="5">
        <f t="shared" si="151"/>
        <v>31504.47</v>
      </c>
      <c r="AK194" s="9" t="str">
        <f t="shared" si="152"/>
        <v/>
      </c>
      <c r="AL194" s="108">
        <f>7108.59</f>
        <v>7108.59</v>
      </c>
      <c r="AM194" s="107"/>
      <c r="AN194" s="108">
        <f t="shared" si="153"/>
        <v>7108.59</v>
      </c>
      <c r="AO194" s="109" t="str">
        <f t="shared" si="154"/>
        <v/>
      </c>
      <c r="AP194" s="5">
        <f>6610.49</f>
        <v>6610.49</v>
      </c>
      <c r="AQ194" s="4"/>
      <c r="AR194" s="5">
        <f t="shared" si="155"/>
        <v>6610.49</v>
      </c>
      <c r="AS194" s="9" t="str">
        <f t="shared" si="156"/>
        <v/>
      </c>
      <c r="AT194" s="5">
        <f>6334.2</f>
        <v>6334.2</v>
      </c>
      <c r="AU194" s="4"/>
      <c r="AV194" s="5">
        <f t="shared" si="157"/>
        <v>6334.2</v>
      </c>
      <c r="AW194" s="9" t="str">
        <f t="shared" si="158"/>
        <v/>
      </c>
      <c r="AX194" s="5">
        <f t="shared" si="159"/>
        <v>51655.43</v>
      </c>
      <c r="AY194" s="5">
        <v>0</v>
      </c>
      <c r="AZ194" s="5">
        <f t="shared" si="160"/>
        <v>51655.43</v>
      </c>
      <c r="BA194" s="9" t="str">
        <f t="shared" si="161"/>
        <v/>
      </c>
    </row>
    <row r="195" spans="1:53" x14ac:dyDescent="0.25">
      <c r="A195" s="3" t="s">
        <v>70</v>
      </c>
      <c r="B195" s="4"/>
      <c r="C195" s="5">
        <f>27803.62</f>
        <v>27803.62</v>
      </c>
      <c r="D195" s="5">
        <f t="shared" si="135"/>
        <v>-27803.62</v>
      </c>
      <c r="E195" s="9">
        <f t="shared" si="136"/>
        <v>0</v>
      </c>
      <c r="F195" s="4"/>
      <c r="G195" s="5">
        <f>27803.58</f>
        <v>27803.58</v>
      </c>
      <c r="H195" s="5">
        <f t="shared" si="137"/>
        <v>-27803.58</v>
      </c>
      <c r="I195" s="9">
        <f t="shared" si="138"/>
        <v>0</v>
      </c>
      <c r="J195" s="4"/>
      <c r="K195" s="5">
        <f>27803.58</f>
        <v>27803.58</v>
      </c>
      <c r="L195" s="5">
        <f t="shared" si="139"/>
        <v>-27803.58</v>
      </c>
      <c r="M195" s="9">
        <f t="shared" si="140"/>
        <v>0</v>
      </c>
      <c r="N195" s="4"/>
      <c r="O195" s="5">
        <f>27803.58</f>
        <v>27803.58</v>
      </c>
      <c r="P195" s="5">
        <f t="shared" si="141"/>
        <v>-27803.58</v>
      </c>
      <c r="Q195" s="9">
        <f t="shared" si="142"/>
        <v>0</v>
      </c>
      <c r="R195" s="4"/>
      <c r="S195" s="5">
        <f>27803.58</f>
        <v>27803.58</v>
      </c>
      <c r="T195" s="5">
        <f t="shared" si="143"/>
        <v>-27803.58</v>
      </c>
      <c r="U195" s="9">
        <f t="shared" si="144"/>
        <v>0</v>
      </c>
      <c r="V195" s="4"/>
      <c r="W195" s="5">
        <f>27803.58</f>
        <v>27803.58</v>
      </c>
      <c r="X195" s="5">
        <f t="shared" si="145"/>
        <v>-27803.58</v>
      </c>
      <c r="Y195" s="9">
        <f t="shared" si="146"/>
        <v>0</v>
      </c>
      <c r="Z195" s="4"/>
      <c r="AA195" s="5">
        <f>27803.58</f>
        <v>27803.58</v>
      </c>
      <c r="AB195" s="5">
        <f t="shared" si="147"/>
        <v>-27803.58</v>
      </c>
      <c r="AC195" s="9">
        <f t="shared" si="148"/>
        <v>0</v>
      </c>
      <c r="AD195" s="4"/>
      <c r="AE195" s="5">
        <f>27803.58</f>
        <v>27803.58</v>
      </c>
      <c r="AF195" s="5">
        <f t="shared" si="149"/>
        <v>-27803.58</v>
      </c>
      <c r="AG195" s="9">
        <f t="shared" si="150"/>
        <v>0</v>
      </c>
      <c r="AH195" s="4"/>
      <c r="AI195" s="5">
        <f>27803.58</f>
        <v>27803.58</v>
      </c>
      <c r="AJ195" s="5">
        <f t="shared" si="151"/>
        <v>-27803.58</v>
      </c>
      <c r="AK195" s="9">
        <f t="shared" si="152"/>
        <v>0</v>
      </c>
      <c r="AL195" s="107"/>
      <c r="AM195" s="108">
        <f>27803.58</f>
        <v>27803.58</v>
      </c>
      <c r="AN195" s="108">
        <f t="shared" si="153"/>
        <v>-27803.58</v>
      </c>
      <c r="AO195" s="109">
        <f t="shared" si="154"/>
        <v>0</v>
      </c>
      <c r="AP195" s="5">
        <f>2177.95</f>
        <v>2177.9499999999998</v>
      </c>
      <c r="AQ195" s="5">
        <f>27803.58</f>
        <v>27803.58</v>
      </c>
      <c r="AR195" s="5">
        <f t="shared" si="155"/>
        <v>-25625.63</v>
      </c>
      <c r="AS195" s="9">
        <f t="shared" si="156"/>
        <v>7.8333437636448247E-2</v>
      </c>
      <c r="AT195" s="4"/>
      <c r="AU195" s="5">
        <f>27803.58</f>
        <v>27803.58</v>
      </c>
      <c r="AV195" s="5">
        <f t="shared" si="157"/>
        <v>-27803.58</v>
      </c>
      <c r="AW195" s="9">
        <f t="shared" si="158"/>
        <v>0</v>
      </c>
      <c r="AX195" s="5">
        <f t="shared" si="159"/>
        <v>2177.9499999999998</v>
      </c>
      <c r="AY195" s="5">
        <v>333643.00000000012</v>
      </c>
      <c r="AZ195" s="5">
        <f t="shared" si="160"/>
        <v>-331465.0500000001</v>
      </c>
      <c r="BA195" s="9">
        <f t="shared" si="161"/>
        <v>6.5277856870966846E-3</v>
      </c>
    </row>
    <row r="196" spans="1:53" x14ac:dyDescent="0.25">
      <c r="A196" s="3" t="s">
        <v>69</v>
      </c>
      <c r="B196" s="7">
        <f>((((B187)+(B188))+(B193))+(B194))+(B195)</f>
        <v>648369.5</v>
      </c>
      <c r="C196" s="7">
        <f>((((C187)+(C188))+(C193))+(C194))+(C195)</f>
        <v>600443.54</v>
      </c>
      <c r="D196" s="7">
        <f t="shared" ref="D196:D227" si="162">(B196)-(C196)</f>
        <v>47925.959999999963</v>
      </c>
      <c r="E196" s="8">
        <f t="shared" si="136"/>
        <v>1.0798175961723229</v>
      </c>
      <c r="F196" s="7">
        <f>((((F187)+(F188))+(F193))+(F194))+(F195)</f>
        <v>482279.56000000006</v>
      </c>
      <c r="G196" s="7">
        <f>((((G187)+(G188))+(G193))+(G194))+(G195)</f>
        <v>600443.5</v>
      </c>
      <c r="H196" s="7">
        <f t="shared" ref="H196:H227" si="163">(F196)-(G196)</f>
        <v>-118163.93999999994</v>
      </c>
      <c r="I196" s="8">
        <f t="shared" si="138"/>
        <v>0.80320556388735997</v>
      </c>
      <c r="J196" s="7">
        <f>((((J187)+(J188))+(J193))+(J194))+(J195)</f>
        <v>509363.11</v>
      </c>
      <c r="K196" s="7">
        <f>((((K187)+(K188))+(K193))+(K194))+(K195)</f>
        <v>600443.5</v>
      </c>
      <c r="L196" s="7">
        <f t="shared" ref="L196:L227" si="164">(J196)-(K196)</f>
        <v>-91080.390000000014</v>
      </c>
      <c r="M196" s="8">
        <f t="shared" si="140"/>
        <v>0.8483114731027982</v>
      </c>
      <c r="N196" s="7">
        <f>((((N187)+(N188))+(N193))+(N194))+(N195)</f>
        <v>501104.99</v>
      </c>
      <c r="O196" s="7">
        <f>((((O187)+(O188))+(O193))+(O194))+(O195)</f>
        <v>600443.5</v>
      </c>
      <c r="P196" s="7">
        <f t="shared" ref="P196:P227" si="165">(N196)-(O196)</f>
        <v>-99338.510000000009</v>
      </c>
      <c r="Q196" s="8">
        <f t="shared" si="142"/>
        <v>0.83455810580012935</v>
      </c>
      <c r="R196" s="7">
        <f>((((R187)+(R188))+(R193))+(R194))+(R195)</f>
        <v>388151.93000000011</v>
      </c>
      <c r="S196" s="7">
        <f>((((S187)+(S188))+(S193))+(S194))+(S195)</f>
        <v>600443.5</v>
      </c>
      <c r="T196" s="7">
        <f t="shared" ref="T196:T227" si="166">(R196)-(S196)</f>
        <v>-212291.56999999989</v>
      </c>
      <c r="U196" s="8">
        <f t="shared" si="144"/>
        <v>0.64644205491440931</v>
      </c>
      <c r="V196" s="7">
        <f>((((V187)+(V188))+(V193))+(V194))+(V195)</f>
        <v>429752.54</v>
      </c>
      <c r="W196" s="7">
        <f>((((W187)+(W188))+(W193))+(W194))+(W195)</f>
        <v>600443.5</v>
      </c>
      <c r="X196" s="7">
        <f t="shared" ref="X196:X227" si="167">(V196)-(W196)</f>
        <v>-170690.96000000002</v>
      </c>
      <c r="Y196" s="8">
        <f t="shared" si="146"/>
        <v>0.71572519312807947</v>
      </c>
      <c r="Z196" s="7">
        <f>((((Z187)+(Z188))+(Z193))+(Z194))+(Z195)</f>
        <v>641447.63</v>
      </c>
      <c r="AA196" s="7">
        <f>((((AA187)+(AA188))+(AA193))+(AA194))+(AA195)</f>
        <v>603810.90999999992</v>
      </c>
      <c r="AB196" s="7">
        <f t="shared" ref="AB196:AB227" si="168">(Z196)-(AA196)</f>
        <v>37636.720000000088</v>
      </c>
      <c r="AC196" s="8">
        <f t="shared" si="148"/>
        <v>1.0623319641574547</v>
      </c>
      <c r="AD196" s="7">
        <f>((((AD187)+(AD188))+(AD193))+(AD194))+(AD195)</f>
        <v>470738.74000000011</v>
      </c>
      <c r="AE196" s="7">
        <f>((((AE187)+(AE188))+(AE193))+(AE194))+(AE195)</f>
        <v>655550.71</v>
      </c>
      <c r="AF196" s="7">
        <f t="shared" ref="AF196:AF227" si="169">(AD196)-(AE196)</f>
        <v>-184811.96999999986</v>
      </c>
      <c r="AG196" s="8">
        <f t="shared" si="150"/>
        <v>0.71808135178436483</v>
      </c>
      <c r="AH196" s="7">
        <f>((((AH187)+(AH188))+(AH193))+(AH194))+(AH195)</f>
        <v>636439.30000000005</v>
      </c>
      <c r="AI196" s="7">
        <f>((((AI187)+(AI188))+(AI193))+(AI194))+(AI195)</f>
        <v>655550.71999999997</v>
      </c>
      <c r="AJ196" s="7">
        <f t="shared" ref="AJ196:AJ227" si="170">(AH196)-(AI196)</f>
        <v>-19111.419999999925</v>
      </c>
      <c r="AK196" s="8">
        <f t="shared" si="152"/>
        <v>0.97084677139855791</v>
      </c>
      <c r="AL196" s="110">
        <f>((((AL187)+(AL188))+(AL193))+(AL194))+(AL195)</f>
        <v>441623.45</v>
      </c>
      <c r="AM196" s="110">
        <f>((((AM187)+(AM188))+(AM193))+(AM194))+(AM195)</f>
        <v>658910.42000000004</v>
      </c>
      <c r="AN196" s="110">
        <f t="shared" ref="AN196:AN227" si="171">(AL196)-(AM196)</f>
        <v>-217286.97000000003</v>
      </c>
      <c r="AO196" s="111">
        <f t="shared" si="154"/>
        <v>0.67023291269244156</v>
      </c>
      <c r="AP196" s="7">
        <f>((((AP187)+(AP188))+(AP193))+(AP194))+(AP195)</f>
        <v>237964.13000000003</v>
      </c>
      <c r="AQ196" s="7">
        <f>((((AQ187)+(AQ188))+(AQ193))+(AQ194))+(AQ195)</f>
        <v>663550.6</v>
      </c>
      <c r="AR196" s="7">
        <f t="shared" ref="AR196:AR227" si="172">(AP196)-(AQ196)</f>
        <v>-425586.47</v>
      </c>
      <c r="AS196" s="8">
        <f t="shared" si="156"/>
        <v>0.35862243210992506</v>
      </c>
      <c r="AT196" s="7">
        <f>((((AT187)+(AT188))+(AT193))+(AT194))+(AT195)</f>
        <v>84110.11</v>
      </c>
      <c r="AU196" s="7">
        <f>((((AU187)+(AU188))+(AU193))+(AU194))+(AU195)</f>
        <v>753788.60000000009</v>
      </c>
      <c r="AV196" s="7">
        <f t="shared" ref="AV196:AV227" si="173">(AT196)-(AU196)</f>
        <v>-669678.49000000011</v>
      </c>
      <c r="AW196" s="8">
        <f t="shared" si="158"/>
        <v>0.11158315474656952</v>
      </c>
      <c r="AX196" s="7">
        <f t="shared" si="159"/>
        <v>5471344.9900000012</v>
      </c>
      <c r="AY196" s="7">
        <v>7593823</v>
      </c>
      <c r="AZ196" s="7">
        <f t="shared" ref="AZ196:AZ227" si="174">(AX196)-(AY196)</f>
        <v>-2122478.0099999988</v>
      </c>
      <c r="BA196" s="8">
        <f t="shared" si="161"/>
        <v>0.72049940984929473</v>
      </c>
    </row>
    <row r="197" spans="1:53" x14ac:dyDescent="0.25">
      <c r="A197" s="3" t="s">
        <v>68</v>
      </c>
      <c r="B197" s="7">
        <f>(B34)-(B196)</f>
        <v>-211156.09999999998</v>
      </c>
      <c r="C197" s="7">
        <f>(C34)-(C196)</f>
        <v>18010.449999999953</v>
      </c>
      <c r="D197" s="7">
        <f t="shared" si="162"/>
        <v>-229166.54999999993</v>
      </c>
      <c r="E197" s="8">
        <f t="shared" si="136"/>
        <v>-11.724087960045447</v>
      </c>
      <c r="F197" s="7">
        <f>(F34)-(F196)</f>
        <v>-34362.030000000028</v>
      </c>
      <c r="G197" s="7">
        <f>(G34)-(G196)</f>
        <v>18010.489999999991</v>
      </c>
      <c r="H197" s="7">
        <f t="shared" si="163"/>
        <v>-52372.520000000019</v>
      </c>
      <c r="I197" s="8">
        <f t="shared" si="138"/>
        <v>-1.9078897908940871</v>
      </c>
      <c r="J197" s="7">
        <f>(J34)-(J196)</f>
        <v>55749.630000000005</v>
      </c>
      <c r="K197" s="7">
        <f>(K34)-(K196)</f>
        <v>18010.489999999991</v>
      </c>
      <c r="L197" s="7">
        <f t="shared" si="164"/>
        <v>37739.140000000014</v>
      </c>
      <c r="M197" s="8">
        <f t="shared" si="140"/>
        <v>3.0953977376517816</v>
      </c>
      <c r="N197" s="7">
        <f>(N34)-(N196)</f>
        <v>65527.119999999879</v>
      </c>
      <c r="O197" s="7">
        <f>(O34)-(O196)</f>
        <v>18010.489999999991</v>
      </c>
      <c r="P197" s="7">
        <f t="shared" si="165"/>
        <v>47516.629999999888</v>
      </c>
      <c r="Q197" s="8">
        <f t="shared" si="142"/>
        <v>3.6382752495906505</v>
      </c>
      <c r="R197" s="7">
        <f>(R34)-(R196)</f>
        <v>134883.97999999986</v>
      </c>
      <c r="S197" s="7">
        <f>(S34)-(S196)</f>
        <v>18010.489999999991</v>
      </c>
      <c r="T197" s="7">
        <f t="shared" si="166"/>
        <v>116873.48999999987</v>
      </c>
      <c r="U197" s="8">
        <f t="shared" si="144"/>
        <v>7.489189910990758</v>
      </c>
      <c r="V197" s="7">
        <f>(V34)-(V196)</f>
        <v>102371.43</v>
      </c>
      <c r="W197" s="7">
        <f>(W34)-(W196)</f>
        <v>22183.489999999991</v>
      </c>
      <c r="X197" s="7">
        <f t="shared" si="167"/>
        <v>80187.94</v>
      </c>
      <c r="Y197" s="8">
        <f t="shared" si="146"/>
        <v>4.6147576418318321</v>
      </c>
      <c r="Z197" s="7">
        <f>(Z34)-(Z196)</f>
        <v>827.77000000001863</v>
      </c>
      <c r="AA197" s="7">
        <f>(AA34)-(AA196)</f>
        <v>14643.080000000075</v>
      </c>
      <c r="AB197" s="7">
        <f t="shared" si="168"/>
        <v>-13815.310000000056</v>
      </c>
      <c r="AC197" s="8">
        <f t="shared" si="148"/>
        <v>5.6529773790760851E-2</v>
      </c>
      <c r="AD197" s="7">
        <f>(AD34)-(AD196)</f>
        <v>34582.639999999898</v>
      </c>
      <c r="AE197" s="7">
        <f>(AE34)-(AE196)</f>
        <v>-3456.7199999999721</v>
      </c>
      <c r="AF197" s="7">
        <f t="shared" si="169"/>
        <v>38039.35999999987</v>
      </c>
      <c r="AG197" s="8">
        <f t="shared" si="150"/>
        <v>-10.004466662038052</v>
      </c>
      <c r="AH197" s="7">
        <f>(AH34)-(AH196)</f>
        <v>-122323.85000000003</v>
      </c>
      <c r="AI197" s="7">
        <f>(AI34)-(AI196)</f>
        <v>-3456.7299999999814</v>
      </c>
      <c r="AJ197" s="7">
        <f t="shared" si="170"/>
        <v>-118867.12000000005</v>
      </c>
      <c r="AK197" s="8">
        <f t="shared" si="152"/>
        <v>35.387157805209171</v>
      </c>
      <c r="AL197" s="110">
        <f>(AL34)-(AL196)</f>
        <v>161946.27000000008</v>
      </c>
      <c r="AM197" s="110">
        <f>(AM34)-(AM196)</f>
        <v>-6816.4400000000605</v>
      </c>
      <c r="AN197" s="110">
        <f t="shared" si="171"/>
        <v>168762.71000000014</v>
      </c>
      <c r="AO197" s="111">
        <f t="shared" si="154"/>
        <v>-23.758189025356145</v>
      </c>
      <c r="AP197" s="7">
        <f>(AP34)-(AP196)</f>
        <v>418258.98</v>
      </c>
      <c r="AQ197" s="7">
        <f>(AQ34)-(AQ196)</f>
        <v>-11456.660000000033</v>
      </c>
      <c r="AR197" s="7">
        <f t="shared" si="172"/>
        <v>429715.64</v>
      </c>
      <c r="AS197" s="8">
        <f t="shared" si="156"/>
        <v>-36.507933376743203</v>
      </c>
      <c r="AT197" s="7">
        <f>(AT34)-(AT196)</f>
        <v>-84165.16</v>
      </c>
      <c r="AU197" s="7">
        <f>(AU34)-(AU196)</f>
        <v>-101692.43000000005</v>
      </c>
      <c r="AV197" s="7">
        <f t="shared" si="173"/>
        <v>17527.270000000048</v>
      </c>
      <c r="AW197" s="8">
        <f t="shared" si="158"/>
        <v>0.82764429958060759</v>
      </c>
      <c r="AX197" s="7">
        <f t="shared" si="159"/>
        <v>522140.67999999959</v>
      </c>
      <c r="AY197" s="7">
        <v>-1.1641532182693481E-10</v>
      </c>
      <c r="AZ197" s="7">
        <f t="shared" si="174"/>
        <v>522140.6799999997</v>
      </c>
      <c r="BA197" s="8">
        <f t="shared" si="161"/>
        <v>-4485154289022399</v>
      </c>
    </row>
    <row r="198" spans="1:53" x14ac:dyDescent="0.25">
      <c r="A198" s="3" t="s">
        <v>67</v>
      </c>
      <c r="B198" s="7">
        <f>(B197)+(0)</f>
        <v>-211156.09999999998</v>
      </c>
      <c r="C198" s="7">
        <f>(C197)+(0)</f>
        <v>18010.449999999953</v>
      </c>
      <c r="D198" s="7">
        <f t="shared" si="162"/>
        <v>-229166.54999999993</v>
      </c>
      <c r="E198" s="8">
        <f t="shared" si="136"/>
        <v>-11.724087960045447</v>
      </c>
      <c r="F198" s="7">
        <f>(F197)+(0)</f>
        <v>-34362.030000000028</v>
      </c>
      <c r="G198" s="7">
        <f>(G197)+(0)</f>
        <v>18010.489999999991</v>
      </c>
      <c r="H198" s="7">
        <f t="shared" si="163"/>
        <v>-52372.520000000019</v>
      </c>
      <c r="I198" s="8">
        <f t="shared" si="138"/>
        <v>-1.9078897908940871</v>
      </c>
      <c r="J198" s="7">
        <f>(J197)+(0)</f>
        <v>55749.630000000005</v>
      </c>
      <c r="K198" s="7">
        <f>(K197)+(0)</f>
        <v>18010.489999999991</v>
      </c>
      <c r="L198" s="7">
        <f t="shared" si="164"/>
        <v>37739.140000000014</v>
      </c>
      <c r="M198" s="8">
        <f t="shared" si="140"/>
        <v>3.0953977376517816</v>
      </c>
      <c r="N198" s="7">
        <f>(N197)+(0)</f>
        <v>65527.119999999879</v>
      </c>
      <c r="O198" s="7">
        <f>(O197)+(0)</f>
        <v>18010.489999999991</v>
      </c>
      <c r="P198" s="7">
        <f t="shared" si="165"/>
        <v>47516.629999999888</v>
      </c>
      <c r="Q198" s="8">
        <f t="shared" si="142"/>
        <v>3.6382752495906505</v>
      </c>
      <c r="R198" s="7">
        <f>(R197)+(0)</f>
        <v>134883.97999999986</v>
      </c>
      <c r="S198" s="7">
        <f>(S197)+(0)</f>
        <v>18010.489999999991</v>
      </c>
      <c r="T198" s="7">
        <f t="shared" si="166"/>
        <v>116873.48999999987</v>
      </c>
      <c r="U198" s="8">
        <f t="shared" si="144"/>
        <v>7.489189910990758</v>
      </c>
      <c r="V198" s="7">
        <f>(V197)+(0)</f>
        <v>102371.43</v>
      </c>
      <c r="W198" s="7">
        <f>(W197)+(0)</f>
        <v>22183.489999999991</v>
      </c>
      <c r="X198" s="7">
        <f t="shared" si="167"/>
        <v>80187.94</v>
      </c>
      <c r="Y198" s="8">
        <f t="shared" si="146"/>
        <v>4.6147576418318321</v>
      </c>
      <c r="Z198" s="7">
        <f>(Z197)+(0)</f>
        <v>827.77000000001863</v>
      </c>
      <c r="AA198" s="7">
        <f>(AA197)+(0)</f>
        <v>14643.080000000075</v>
      </c>
      <c r="AB198" s="7">
        <f t="shared" si="168"/>
        <v>-13815.310000000056</v>
      </c>
      <c r="AC198" s="8">
        <f t="shared" si="148"/>
        <v>5.6529773790760851E-2</v>
      </c>
      <c r="AD198" s="7">
        <f>(AD197)+(0)</f>
        <v>34582.639999999898</v>
      </c>
      <c r="AE198" s="7">
        <f>(AE197)+(0)</f>
        <v>-3456.7199999999721</v>
      </c>
      <c r="AF198" s="7">
        <f t="shared" si="169"/>
        <v>38039.35999999987</v>
      </c>
      <c r="AG198" s="8">
        <f t="shared" si="150"/>
        <v>-10.004466662038052</v>
      </c>
      <c r="AH198" s="7">
        <f>(AH197)+(0)</f>
        <v>-122323.85000000003</v>
      </c>
      <c r="AI198" s="7">
        <f>(AI197)+(0)</f>
        <v>-3456.7299999999814</v>
      </c>
      <c r="AJ198" s="7">
        <f t="shared" si="170"/>
        <v>-118867.12000000005</v>
      </c>
      <c r="AK198" s="8">
        <f t="shared" si="152"/>
        <v>35.387157805209171</v>
      </c>
      <c r="AL198" s="110">
        <f>(AL197)+(0)</f>
        <v>161946.27000000008</v>
      </c>
      <c r="AM198" s="110">
        <f>(AM197)+(0)</f>
        <v>-6816.4400000000605</v>
      </c>
      <c r="AN198" s="110">
        <f t="shared" si="171"/>
        <v>168762.71000000014</v>
      </c>
      <c r="AO198" s="111">
        <f t="shared" si="154"/>
        <v>-23.758189025356145</v>
      </c>
      <c r="AP198" s="7">
        <f>(AP197)+(0)</f>
        <v>418258.98</v>
      </c>
      <c r="AQ198" s="7">
        <f>(AQ197)+(0)</f>
        <v>-11456.660000000033</v>
      </c>
      <c r="AR198" s="7">
        <f t="shared" si="172"/>
        <v>429715.64</v>
      </c>
      <c r="AS198" s="8">
        <f t="shared" si="156"/>
        <v>-36.507933376743203</v>
      </c>
      <c r="AT198" s="7">
        <f>(AT197)+(0)</f>
        <v>-84165.16</v>
      </c>
      <c r="AU198" s="7">
        <f>(AU197)+(0)</f>
        <v>-101692.43000000005</v>
      </c>
      <c r="AV198" s="7">
        <f t="shared" si="173"/>
        <v>17527.270000000048</v>
      </c>
      <c r="AW198" s="8">
        <f t="shared" si="158"/>
        <v>0.82764429958060759</v>
      </c>
      <c r="AX198" s="7">
        <f t="shared" si="159"/>
        <v>522140.67999999959</v>
      </c>
      <c r="AY198" s="7">
        <v>-1.1641532182693481E-10</v>
      </c>
      <c r="AZ198" s="7">
        <f t="shared" si="174"/>
        <v>522140.6799999997</v>
      </c>
      <c r="BA198" s="8">
        <f t="shared" si="161"/>
        <v>-4485154289022399</v>
      </c>
    </row>
    <row r="199" spans="1:53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107"/>
      <c r="AM199" s="107"/>
      <c r="AN199" s="107"/>
      <c r="AO199" s="107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2" spans="1:53" x14ac:dyDescent="0.25">
      <c r="A202" s="129" t="s">
        <v>66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</row>
  </sheetData>
  <mergeCells count="14">
    <mergeCell ref="AP5:AS5"/>
    <mergeCell ref="AT5:AW5"/>
    <mergeCell ref="AX5:BA5"/>
    <mergeCell ref="A202:BA202"/>
    <mergeCell ref="V5:Y5"/>
    <mergeCell ref="Z5:AC5"/>
    <mergeCell ref="AD5:AG5"/>
    <mergeCell ref="AH5:AK5"/>
    <mergeCell ref="AL5:AO5"/>
    <mergeCell ref="B5:E5"/>
    <mergeCell ref="F5:I5"/>
    <mergeCell ref="J5:M5"/>
    <mergeCell ref="N5:Q5"/>
    <mergeCell ref="R5:U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0B3A-7A8F-4668-BB35-706DEB2A6E09}">
  <dimension ref="A1:G12"/>
  <sheetViews>
    <sheetView workbookViewId="0">
      <selection activeCell="G25" sqref="G25"/>
    </sheetView>
  </sheetViews>
  <sheetFormatPr defaultRowHeight="15" x14ac:dyDescent="0.25"/>
  <cols>
    <col min="1" max="1" width="11.140625" customWidth="1"/>
    <col min="2" max="5" width="7.7109375" customWidth="1"/>
    <col min="6" max="7" width="10.28515625" customWidth="1"/>
  </cols>
  <sheetData>
    <row r="1" spans="1:7" ht="18" x14ac:dyDescent="0.25">
      <c r="A1" s="124" t="s">
        <v>61</v>
      </c>
      <c r="B1" s="125"/>
      <c r="C1" s="125"/>
      <c r="D1" s="125"/>
      <c r="E1" s="125"/>
      <c r="F1" s="125"/>
      <c r="G1" s="125"/>
    </row>
    <row r="2" spans="1:7" ht="18" x14ac:dyDescent="0.25">
      <c r="A2" s="124" t="s">
        <v>280</v>
      </c>
      <c r="B2" s="125"/>
      <c r="C2" s="125"/>
      <c r="D2" s="125"/>
      <c r="E2" s="125"/>
      <c r="F2" s="125"/>
      <c r="G2" s="125"/>
    </row>
    <row r="3" spans="1:7" x14ac:dyDescent="0.25">
      <c r="A3" s="126" t="s">
        <v>63</v>
      </c>
      <c r="B3" s="125"/>
      <c r="C3" s="125"/>
      <c r="D3" s="125"/>
      <c r="E3" s="125"/>
      <c r="F3" s="125"/>
      <c r="G3" s="125"/>
    </row>
    <row r="5" spans="1:7" ht="24.75" x14ac:dyDescent="0.25">
      <c r="A5" s="1"/>
      <c r="B5" s="2" t="s">
        <v>281</v>
      </c>
      <c r="C5" s="2" t="s">
        <v>282</v>
      </c>
      <c r="D5" s="2" t="s">
        <v>283</v>
      </c>
      <c r="E5" s="2" t="s">
        <v>284</v>
      </c>
      <c r="F5" s="2" t="s">
        <v>285</v>
      </c>
      <c r="G5" s="2" t="s">
        <v>0</v>
      </c>
    </row>
    <row r="6" spans="1:7" x14ac:dyDescent="0.25">
      <c r="A6" s="3" t="s">
        <v>65</v>
      </c>
      <c r="B6" s="4"/>
      <c r="C6" s="4"/>
      <c r="D6" s="4"/>
      <c r="E6" s="4"/>
      <c r="F6" s="5">
        <f>-7335</f>
        <v>-7335</v>
      </c>
      <c r="G6" s="5">
        <f>((((B6)+(C6))+(D6))+(E6))+(F6)</f>
        <v>-7335</v>
      </c>
    </row>
    <row r="7" spans="1:7" x14ac:dyDescent="0.25">
      <c r="A7" s="3" t="s">
        <v>279</v>
      </c>
      <c r="B7" s="4"/>
      <c r="C7" s="4"/>
      <c r="D7" s="4"/>
      <c r="E7" s="4"/>
      <c r="F7" s="5">
        <f>-740</f>
        <v>-740</v>
      </c>
      <c r="G7" s="5">
        <f>((((B7)+(C7))+(D7))+(E7))+(F7)</f>
        <v>-740</v>
      </c>
    </row>
    <row r="8" spans="1:7" x14ac:dyDescent="0.25">
      <c r="A8" s="3" t="s">
        <v>64</v>
      </c>
      <c r="B8" s="7">
        <f>(B6)+(B7)</f>
        <v>0</v>
      </c>
      <c r="C8" s="7">
        <f>(C6)+(C7)</f>
        <v>0</v>
      </c>
      <c r="D8" s="7">
        <f>(D6)+(D7)</f>
        <v>0</v>
      </c>
      <c r="E8" s="7">
        <f>(E6)+(E7)</f>
        <v>0</v>
      </c>
      <c r="F8" s="7">
        <f>(F6)+(F7)</f>
        <v>-8075</v>
      </c>
      <c r="G8" s="7">
        <f>((((B8)+(C8))+(D8))+(E8))+(F8)</f>
        <v>-8075</v>
      </c>
    </row>
    <row r="9" spans="1:7" x14ac:dyDescent="0.25">
      <c r="A9" s="3"/>
      <c r="B9" s="4"/>
      <c r="C9" s="4"/>
      <c r="D9" s="4"/>
      <c r="E9" s="4"/>
      <c r="F9" s="4"/>
      <c r="G9" s="4"/>
    </row>
    <row r="12" spans="1:7" x14ac:dyDescent="0.25">
      <c r="A12" s="129" t="s">
        <v>286</v>
      </c>
      <c r="B12" s="125"/>
      <c r="C12" s="125"/>
      <c r="D12" s="125"/>
      <c r="E12" s="125"/>
      <c r="F12" s="125"/>
      <c r="G12" s="125"/>
    </row>
  </sheetData>
  <mergeCells count="4">
    <mergeCell ref="A1:G1"/>
    <mergeCell ref="A2:G2"/>
    <mergeCell ref="A3:G3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CFO</vt:lpstr>
      <vt:lpstr>Snapshot</vt:lpstr>
      <vt:lpstr>Budget Vs Actual Summary</vt:lpstr>
      <vt:lpstr>Budget vs. Actuals Details</vt:lpstr>
      <vt:lpstr>Balance Sheet</vt:lpstr>
      <vt:lpstr>Annual Budget</vt:lpstr>
      <vt:lpstr>A P Aging Detail</vt:lpstr>
      <vt:lpstr>CFO!Print_Area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Wanda Brooks-Long</cp:lastModifiedBy>
  <cp:lastPrinted>2022-06-16T02:23:01Z</cp:lastPrinted>
  <dcterms:created xsi:type="dcterms:W3CDTF">2022-06-16T01:09:01Z</dcterms:created>
  <dcterms:modified xsi:type="dcterms:W3CDTF">2022-06-16T15:16:41Z</dcterms:modified>
</cp:coreProperties>
</file>