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\Documents\Centennial FY23\JessicaO\Budget meeting 09302022\"/>
    </mc:Choice>
  </mc:AlternateContent>
  <bookViews>
    <workbookView xWindow="0" yWindow="0" windowWidth="14370" windowHeight="12360"/>
  </bookViews>
  <sheets>
    <sheet name="Centennial Proj" sheetId="3" r:id="rId1"/>
    <sheet name="FY22 weighted ave- Oct" sheetId="2" r:id="rId2"/>
    <sheet name="Title I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3" l="1"/>
  <c r="D3" i="3" l="1"/>
  <c r="E39" i="3"/>
  <c r="E38" i="3"/>
  <c r="E37" i="3"/>
  <c r="D32" i="3"/>
  <c r="C32" i="3"/>
  <c r="D31" i="3"/>
  <c r="C31" i="3"/>
  <c r="D28" i="3"/>
  <c r="D27" i="3"/>
  <c r="C27" i="3"/>
  <c r="C26" i="3"/>
  <c r="C23" i="3"/>
  <c r="D23" i="3"/>
  <c r="D22" i="3"/>
  <c r="C22" i="3"/>
  <c r="D19" i="3"/>
  <c r="C19" i="3"/>
  <c r="E18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9" i="3"/>
  <c r="C9" i="3"/>
  <c r="D8" i="3"/>
  <c r="C8" i="3"/>
  <c r="E7" i="3"/>
  <c r="D7" i="3"/>
  <c r="C7" i="3"/>
  <c r="D6" i="3"/>
  <c r="C6" i="3"/>
  <c r="E5" i="3"/>
  <c r="D5" i="3"/>
  <c r="C5" i="3"/>
  <c r="C3" i="3"/>
  <c r="J48" i="3"/>
  <c r="E36" i="3"/>
  <c r="E35" i="3"/>
  <c r="E19" i="3"/>
  <c r="E17" i="3"/>
  <c r="E16" i="3"/>
  <c r="E15" i="3"/>
  <c r="E14" i="3"/>
  <c r="E13" i="3"/>
  <c r="E12" i="3"/>
  <c r="E9" i="3"/>
  <c r="E8" i="3"/>
  <c r="E6" i="3"/>
  <c r="E4" i="3"/>
  <c r="D4" i="3"/>
  <c r="C4" i="3"/>
  <c r="E3" i="3"/>
  <c r="K47" i="3" l="1"/>
  <c r="K48" i="3"/>
  <c r="F40" i="3"/>
  <c r="G33" i="3"/>
  <c r="G29" i="3"/>
  <c r="F26" i="3"/>
  <c r="H26" i="3" s="1"/>
  <c r="G24" i="3"/>
  <c r="B20" i="3"/>
  <c r="B41" i="3" s="1"/>
  <c r="F19" i="3"/>
  <c r="G19" i="3"/>
  <c r="G18" i="3"/>
  <c r="F18" i="3"/>
  <c r="F17" i="3"/>
  <c r="G17" i="3"/>
  <c r="G16" i="3"/>
  <c r="F16" i="3"/>
  <c r="F15" i="3"/>
  <c r="G15" i="3"/>
  <c r="G14" i="3"/>
  <c r="F14" i="3"/>
  <c r="G13" i="3"/>
  <c r="F13" i="3"/>
  <c r="G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H18" i="3" l="1"/>
  <c r="H11" i="3"/>
  <c r="J52" i="3"/>
  <c r="H5" i="3"/>
  <c r="F12" i="3"/>
  <c r="H12" i="3" s="1"/>
  <c r="H8" i="3"/>
  <c r="H10" i="3"/>
  <c r="H16" i="3"/>
  <c r="H14" i="3"/>
  <c r="H13" i="3"/>
  <c r="H7" i="3"/>
  <c r="H6" i="3"/>
  <c r="H4" i="3"/>
  <c r="H3" i="3"/>
  <c r="G20" i="3"/>
  <c r="K49" i="3"/>
  <c r="H15" i="3"/>
  <c r="H17" i="3"/>
  <c r="H19" i="3"/>
  <c r="H9" i="3"/>
  <c r="B23" i="3"/>
  <c r="F23" i="3" s="1"/>
  <c r="H23" i="3" s="1"/>
  <c r="B27" i="3"/>
  <c r="F27" i="3" s="1"/>
  <c r="H27" i="3" s="1"/>
  <c r="K45" i="3"/>
  <c r="K52" i="3" s="1"/>
  <c r="B28" i="3"/>
  <c r="F28" i="3" s="1"/>
  <c r="H28" i="3" s="1"/>
  <c r="B31" i="3"/>
  <c r="F31" i="3" s="1"/>
  <c r="B32" i="3"/>
  <c r="F32" i="3" s="1"/>
  <c r="H32" i="3" s="1"/>
  <c r="B22" i="3"/>
  <c r="F22" i="3" s="1"/>
  <c r="B35" i="3"/>
  <c r="G35" i="3" s="1"/>
  <c r="B36" i="3"/>
  <c r="G36" i="3" s="1"/>
  <c r="H36" i="3" s="1"/>
  <c r="B37" i="3"/>
  <c r="G37" i="3" s="1"/>
  <c r="H37" i="3" s="1"/>
  <c r="B38" i="3"/>
  <c r="G38" i="3" s="1"/>
  <c r="H38" i="3" s="1"/>
  <c r="B39" i="3"/>
  <c r="G39" i="3" s="1"/>
  <c r="H39" i="3" s="1"/>
  <c r="F20" i="3" l="1"/>
  <c r="I20" i="3" s="1"/>
  <c r="H29" i="3"/>
  <c r="F33" i="3"/>
  <c r="I33" i="3" s="1"/>
  <c r="H31" i="3"/>
  <c r="H33" i="3" s="1"/>
  <c r="H20" i="3"/>
  <c r="H35" i="3"/>
  <c r="H40" i="3" s="1"/>
  <c r="G40" i="3"/>
  <c r="I40" i="3" s="1"/>
  <c r="F29" i="3"/>
  <c r="I29" i="3" s="1"/>
  <c r="H22" i="3"/>
  <c r="H24" i="3" s="1"/>
  <c r="F24" i="3"/>
  <c r="I24" i="3" s="1"/>
  <c r="G41" i="3" l="1"/>
  <c r="F41" i="3"/>
  <c r="H41" i="3"/>
  <c r="I41" i="3"/>
  <c r="J43" i="3" l="1"/>
  <c r="J45" i="3" s="1"/>
  <c r="J53" i="3" s="1"/>
  <c r="J54" i="3" s="1"/>
  <c r="H54" i="3" s="1"/>
  <c r="K51" i="3"/>
  <c r="K53" i="3" s="1"/>
  <c r="H42" i="3" s="1"/>
  <c r="H43" i="3" s="1"/>
  <c r="D28" i="2"/>
  <c r="C28" i="2"/>
  <c r="B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A3" i="2"/>
  <c r="E28" i="2" l="1"/>
  <c r="F17" i="2" s="1"/>
  <c r="G28" i="2"/>
  <c r="H55" i="3"/>
  <c r="H56" i="3" s="1"/>
  <c r="H57" i="3" s="1"/>
  <c r="H60" i="3" s="1"/>
  <c r="F22" i="2" l="1"/>
  <c r="G22" i="2" s="1"/>
  <c r="H22" i="2" s="1"/>
  <c r="F20" i="2"/>
  <c r="G20" i="2" s="1"/>
  <c r="H20" i="2" s="1"/>
  <c r="F21" i="2"/>
  <c r="G21" i="2" s="1"/>
  <c r="H21" i="2" s="1"/>
  <c r="F15" i="2"/>
  <c r="F13" i="2"/>
  <c r="G13" i="2" s="1"/>
  <c r="H13" i="2" s="1"/>
  <c r="F24" i="2"/>
  <c r="G24" i="2" s="1"/>
  <c r="H24" i="2" s="1"/>
  <c r="F14" i="2"/>
  <c r="G14" i="2" s="1"/>
  <c r="H14" i="2" s="1"/>
  <c r="F16" i="2"/>
  <c r="G16" i="2" s="1"/>
  <c r="H16" i="2" s="1"/>
  <c r="F12" i="2"/>
  <c r="G12" i="2" s="1"/>
  <c r="H12" i="2" s="1"/>
  <c r="F8" i="2"/>
  <c r="G8" i="2" s="1"/>
  <c r="H8" i="2" s="1"/>
  <c r="F11" i="2"/>
  <c r="G11" i="2" s="1"/>
  <c r="H11" i="2" s="1"/>
  <c r="F26" i="2"/>
  <c r="F23" i="2"/>
  <c r="G23" i="2" s="1"/>
  <c r="H23" i="2" s="1"/>
  <c r="F25" i="2"/>
  <c r="G25" i="2" s="1"/>
  <c r="H25" i="2" s="1"/>
  <c r="F19" i="2"/>
  <c r="G19" i="2" s="1"/>
  <c r="H19" i="2" s="1"/>
  <c r="F18" i="2"/>
  <c r="G18" i="2" s="1"/>
  <c r="H18" i="2" s="1"/>
  <c r="F10" i="2"/>
  <c r="G10" i="2" s="1"/>
  <c r="H10" i="2" s="1"/>
  <c r="F9" i="2"/>
  <c r="G17" i="2"/>
  <c r="H17" i="2" s="1"/>
  <c r="G15" i="2"/>
  <c r="H15" i="2" s="1"/>
  <c r="G26" i="2"/>
  <c r="H26" i="2" s="1"/>
  <c r="B43" i="3"/>
  <c r="F28" i="2" l="1"/>
  <c r="G9" i="2"/>
  <c r="H9" i="2" s="1"/>
  <c r="H28" i="2" s="1"/>
  <c r="B50" i="3" l="1"/>
  <c r="H58" i="3" s="1"/>
</calcChain>
</file>

<file path=xl/comments1.xml><?xml version="1.0" encoding="utf-8"?>
<comments xmlns="http://schemas.openxmlformats.org/spreadsheetml/2006/main">
  <authors>
    <author>Jon Cooper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Jon Cooper:</t>
        </r>
        <r>
          <rPr>
            <sz val="9"/>
            <color indexed="81"/>
            <rFont val="Tahoma"/>
            <family val="2"/>
          </rPr>
          <t xml:space="preserve">
2016-1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Jon Cooper:</t>
        </r>
        <r>
          <rPr>
            <sz val="9"/>
            <color indexed="81"/>
            <rFont val="Tahoma"/>
            <family val="2"/>
          </rPr>
          <t xml:space="preserve">
2015-3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Jon Cooper:</t>
        </r>
        <r>
          <rPr>
            <sz val="9"/>
            <color indexed="81"/>
            <rFont val="Tahoma"/>
            <family val="2"/>
          </rPr>
          <t xml:space="preserve">
2016-1</t>
        </r>
      </text>
    </comment>
  </commentList>
</comments>
</file>

<file path=xl/sharedStrings.xml><?xml version="1.0" encoding="utf-8"?>
<sst xmlns="http://schemas.openxmlformats.org/spreadsheetml/2006/main" count="126" uniqueCount="117">
  <si>
    <t>FTE count</t>
  </si>
  <si>
    <t>T&amp;E Factor</t>
  </si>
  <si>
    <t>Base Salary without T&amp;E</t>
  </si>
  <si>
    <t>base Oper</t>
  </si>
  <si>
    <t>Salary</t>
  </si>
  <si>
    <t>Oper</t>
  </si>
  <si>
    <t>Direct Instructional:</t>
  </si>
  <si>
    <t>Kindergarten</t>
  </si>
  <si>
    <t>Kindergarten EIV</t>
  </si>
  <si>
    <t>Primary 1-3</t>
  </si>
  <si>
    <t xml:space="preserve"> </t>
  </si>
  <si>
    <t>Primary 1-3 EIV</t>
  </si>
  <si>
    <t>Upper Elem 4-5</t>
  </si>
  <si>
    <t>Upper Elem 4-5 EIV</t>
  </si>
  <si>
    <t>Middle School</t>
  </si>
  <si>
    <t>High School Grade 9-12</t>
  </si>
  <si>
    <t>CTAE (9-12) PGM</t>
  </si>
  <si>
    <t>Spec Disab Cat I</t>
  </si>
  <si>
    <t>Spec Disab Cat II</t>
  </si>
  <si>
    <t>Spec Disab Cat III</t>
  </si>
  <si>
    <t>Spec Disab Cat IV</t>
  </si>
  <si>
    <t>Spec Disab Cat V</t>
  </si>
  <si>
    <t>Giftted</t>
  </si>
  <si>
    <t>Remedial</t>
  </si>
  <si>
    <t>Eng Spkrs of Other Lang ESOL</t>
  </si>
  <si>
    <t>Sub-total</t>
  </si>
  <si>
    <t>Ind Costs-Cent Admin</t>
  </si>
  <si>
    <t>Psychologists</t>
  </si>
  <si>
    <t>Social Workers</t>
  </si>
  <si>
    <t>Ind Costs-Schl Admin</t>
  </si>
  <si>
    <t>Principal</t>
  </si>
  <si>
    <t>Asst Principal</t>
  </si>
  <si>
    <t>Secretary</t>
  </si>
  <si>
    <t>Media Personnel</t>
  </si>
  <si>
    <t>20 Days Add's Instruct</t>
  </si>
  <si>
    <t>Operation Costs:</t>
  </si>
  <si>
    <t>School Admin</t>
  </si>
  <si>
    <t>Facility M&amp;O</t>
  </si>
  <si>
    <t>Media Center material</t>
  </si>
  <si>
    <t>Staff Development</t>
  </si>
  <si>
    <t>Prin, Staff, Prof Dvlp</t>
  </si>
  <si>
    <t>Allocable QBE Earnings</t>
  </si>
  <si>
    <t>Austerity Reduction</t>
  </si>
  <si>
    <t>Calculation:</t>
  </si>
  <si>
    <t>Net QBE Earnings</t>
  </si>
  <si>
    <t>Adjusted APS System Aust. Reduct.</t>
  </si>
  <si>
    <t>Total APS funding</t>
  </si>
  <si>
    <t>Ratio QBE to APS QBE</t>
  </si>
  <si>
    <t>AR as % of Total APS Funding</t>
  </si>
  <si>
    <t>Local Property Taxes</t>
  </si>
  <si>
    <t>Other Local Revenue</t>
  </si>
  <si>
    <t>Less:  APS System Aust. Reduct.</t>
  </si>
  <si>
    <t>Fund Balance</t>
  </si>
  <si>
    <t>Net APS System QBE Earnings</t>
  </si>
  <si>
    <t>Less: UPL net normal cost</t>
  </si>
  <si>
    <t>Less: Local Fair Share</t>
  </si>
  <si>
    <t>Charter School QBE earnings</t>
  </si>
  <si>
    <t>"Local Revenues"</t>
  </si>
  <si>
    <t>% of Total APS funding</t>
  </si>
  <si>
    <t>Charter School Austerity reduction</t>
  </si>
  <si>
    <t>Allocable Local Revenue</t>
  </si>
  <si>
    <t>Less:  2% Admin Fee</t>
  </si>
  <si>
    <t>CENTENNIAL ACADEMY</t>
  </si>
  <si>
    <t>Program</t>
  </si>
  <si>
    <t>Ave Last</t>
  </si>
  <si>
    <t>Ave count</t>
  </si>
  <si>
    <t>Count</t>
  </si>
  <si>
    <t xml:space="preserve">Two </t>
  </si>
  <si>
    <t>Pct</t>
  </si>
  <si>
    <t>Projection</t>
  </si>
  <si>
    <t>Funding</t>
  </si>
  <si>
    <t>K</t>
  </si>
  <si>
    <t>EIP-K</t>
  </si>
  <si>
    <t>Gr 1-3</t>
  </si>
  <si>
    <t>EIP 1-3</t>
  </si>
  <si>
    <t>Gr 4-5</t>
  </si>
  <si>
    <t>EIP 4-5</t>
  </si>
  <si>
    <t>MG</t>
  </si>
  <si>
    <t>MS</t>
  </si>
  <si>
    <t>HS</t>
  </si>
  <si>
    <t>Voc</t>
  </si>
  <si>
    <t>SpI</t>
  </si>
  <si>
    <t>Sp II</t>
  </si>
  <si>
    <t>Sp III</t>
  </si>
  <si>
    <t>Sp IV</t>
  </si>
  <si>
    <t>Sp V</t>
  </si>
  <si>
    <t>Gifted</t>
  </si>
  <si>
    <t>Alt Sch</t>
  </si>
  <si>
    <t>ESOL</t>
  </si>
  <si>
    <t>Total</t>
  </si>
  <si>
    <t>PPA</t>
  </si>
  <si>
    <t>Paid to Date</t>
  </si>
  <si>
    <t>Oct20</t>
  </si>
  <si>
    <t>Mar21</t>
  </si>
  <si>
    <t>System</t>
  </si>
  <si>
    <t>Location</t>
  </si>
  <si>
    <t>School</t>
  </si>
  <si>
    <t xml:space="preserve">Community Eligibility Provision
School (Y/N) 
</t>
  </si>
  <si>
    <t>Grade Span</t>
  </si>
  <si>
    <t>FY22 Preliminary School Allocation Adjusted with Oct Count and FY20 CEP</t>
  </si>
  <si>
    <t xml:space="preserve">FY22 Holdback </t>
  </si>
  <si>
    <t>FY22 Planning Preliminary School Allocation minus holdback)</t>
  </si>
  <si>
    <t>FY21 Projected Family Engagement Allocation (not included in school allocation)</t>
  </si>
  <si>
    <t>Charter</t>
  </si>
  <si>
    <t>0199</t>
  </si>
  <si>
    <t>Centennial Academy</t>
  </si>
  <si>
    <t>Yes</t>
  </si>
  <si>
    <t>Elementary</t>
  </si>
  <si>
    <t>Total to date</t>
  </si>
  <si>
    <t>Oct21</t>
  </si>
  <si>
    <t>Mar22</t>
  </si>
  <si>
    <t>FY22 Midterm/FY23 Initial</t>
  </si>
  <si>
    <t>Centennial FY 2023        Earnings Proj</t>
  </si>
  <si>
    <t>FY 2023 CPA Funding</t>
  </si>
  <si>
    <t>FY 2023 CPA Net Funding</t>
  </si>
  <si>
    <t>FY 2023 Monthly Payments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</si>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</sst>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00"/>
    <numFmt numFmtId="167" formatCode="_(* #,##0.00000_);_(* \(#,##0.0000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u/>
      <sz val="10"/>
      <color rgb="FF0530BB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u val="singleAccounting"/>
      <sz val="7"/>
      <name val="Arial"/>
      <family val="2"/>
    </font>
    <font>
      <b/>
      <sz val="10"/>
      <color theme="1"/>
      <name val="Arial"/>
      <family val="2"/>
    </font>
    <font>
      <u val="singleAccounting"/>
      <sz val="10"/>
      <color indexed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7"/>
      <color indexed="10"/>
      <name val="Arial"/>
      <family val="2"/>
    </font>
    <font>
      <b/>
      <u val="singleAccounting"/>
      <sz val="10"/>
      <name val="Arial"/>
      <family val="2"/>
    </font>
    <font>
      <b/>
      <sz val="7"/>
      <color rgb="FF0530BB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</cellStyleXfs>
  <cellXfs count="207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164" fontId="6" fillId="0" borderId="0" xfId="1" applyNumberFormat="1" applyFont="1"/>
    <xf numFmtId="0" fontId="2" fillId="0" borderId="0" xfId="0" applyFont="1" applyAlignment="1">
      <alignment horizontal="left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/>
    <xf numFmtId="38" fontId="9" fillId="0" borderId="0" xfId="0" applyNumberFormat="1" applyFont="1" applyFill="1"/>
    <xf numFmtId="38" fontId="9" fillId="0" borderId="0" xfId="1" applyNumberFormat="1" applyFont="1"/>
    <xf numFmtId="38" fontId="9" fillId="0" borderId="0" xfId="3" applyNumberFormat="1" applyFont="1" applyAlignment="1">
      <alignment horizontal="right" wrapText="1"/>
    </xf>
    <xf numFmtId="38" fontId="9" fillId="0" borderId="0" xfId="3" applyNumberFormat="1" applyFont="1" applyFill="1"/>
    <xf numFmtId="38" fontId="9" fillId="0" borderId="0" xfId="3" applyNumberFormat="1" applyFont="1" applyFill="1" applyAlignment="1">
      <alignment horizontal="center"/>
    </xf>
    <xf numFmtId="38" fontId="9" fillId="0" borderId="0" xfId="3" applyNumberFormat="1" applyFont="1"/>
    <xf numFmtId="38" fontId="5" fillId="0" borderId="0" xfId="0" applyNumberFormat="1" applyFont="1"/>
    <xf numFmtId="166" fontId="9" fillId="0" borderId="0" xfId="0" applyNumberFormat="1" applyFont="1"/>
    <xf numFmtId="38" fontId="9" fillId="0" borderId="0" xfId="0" applyNumberFormat="1" applyFont="1" applyFill="1" applyBorder="1"/>
    <xf numFmtId="38" fontId="9" fillId="0" borderId="0" xfId="0" applyNumberFormat="1" applyFont="1" applyBorder="1"/>
    <xf numFmtId="38" fontId="9" fillId="0" borderId="0" xfId="3" applyNumberFormat="1" applyFont="1" applyBorder="1" applyAlignment="1">
      <alignment horizontal="right" wrapText="1"/>
    </xf>
    <xf numFmtId="38" fontId="9" fillId="0" borderId="0" xfId="1" applyNumberFormat="1" applyFont="1" applyBorder="1"/>
    <xf numFmtId="38" fontId="11" fillId="0" borderId="0" xfId="0" applyNumberFormat="1" applyFont="1"/>
    <xf numFmtId="164" fontId="9" fillId="0" borderId="0" xfId="1" applyNumberFormat="1" applyFont="1"/>
    <xf numFmtId="0" fontId="9" fillId="0" borderId="0" xfId="0" applyFont="1" applyAlignment="1">
      <alignment horizontal="left"/>
    </xf>
    <xf numFmtId="38" fontId="9" fillId="0" borderId="0" xfId="1" applyNumberFormat="1" applyFont="1" applyFill="1" applyBorder="1"/>
    <xf numFmtId="38" fontId="9" fillId="0" borderId="0" xfId="3" applyNumberFormat="1" applyFont="1" applyBorder="1" applyAlignment="1">
      <alignment horizontal="right"/>
    </xf>
    <xf numFmtId="38" fontId="11" fillId="0" borderId="0" xfId="0" applyNumberFormat="1" applyFont="1" applyAlignment="1">
      <alignment horizontal="left"/>
    </xf>
    <xf numFmtId="0" fontId="9" fillId="0" borderId="0" xfId="0" applyFont="1" applyFill="1"/>
    <xf numFmtId="43" fontId="9" fillId="0" borderId="0" xfId="1" applyFont="1" applyFill="1" applyBorder="1"/>
    <xf numFmtId="43" fontId="10" fillId="0" borderId="0" xfId="1" applyFont="1" applyFill="1" applyBorder="1"/>
    <xf numFmtId="43" fontId="9" fillId="0" borderId="0" xfId="1" applyFont="1" applyBorder="1"/>
    <xf numFmtId="43" fontId="9" fillId="0" borderId="0" xfId="1" applyFont="1" applyBorder="1" applyAlignment="1">
      <alignment horizontal="right" wrapText="1"/>
    </xf>
    <xf numFmtId="43" fontId="9" fillId="0" borderId="0" xfId="1" applyFont="1" applyFill="1"/>
    <xf numFmtId="43" fontId="9" fillId="0" borderId="0" xfId="1" applyFont="1" applyFill="1" applyAlignment="1">
      <alignment horizontal="center"/>
    </xf>
    <xf numFmtId="43" fontId="9" fillId="0" borderId="0" xfId="1" applyFont="1"/>
    <xf numFmtId="38" fontId="11" fillId="0" borderId="0" xfId="0" applyNumberFormat="1" applyFont="1" applyFill="1"/>
    <xf numFmtId="166" fontId="12" fillId="0" borderId="0" xfId="0" applyNumberFormat="1" applyFont="1" applyFill="1" applyAlignment="1">
      <alignment horizontal="right"/>
    </xf>
    <xf numFmtId="164" fontId="12" fillId="0" borderId="0" xfId="1" applyNumberFormat="1" applyFont="1" applyFill="1"/>
    <xf numFmtId="38" fontId="11" fillId="0" borderId="0" xfId="0" applyNumberFormat="1" applyFont="1" applyFill="1" applyAlignment="1">
      <alignment horizontal="left"/>
    </xf>
    <xf numFmtId="0" fontId="13" fillId="0" borderId="0" xfId="0" applyFont="1" applyFill="1"/>
    <xf numFmtId="164" fontId="13" fillId="0" borderId="0" xfId="0" applyNumberFormat="1" applyFont="1" applyFill="1"/>
    <xf numFmtId="166" fontId="9" fillId="0" borderId="0" xfId="0" applyNumberFormat="1" applyFont="1" applyFill="1"/>
    <xf numFmtId="0" fontId="14" fillId="0" borderId="0" xfId="0" applyFont="1"/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38" fontId="2" fillId="0" borderId="2" xfId="0" applyNumberFormat="1" applyFont="1" applyFill="1" applyBorder="1"/>
    <xf numFmtId="38" fontId="9" fillId="0" borderId="2" xfId="3" applyNumberFormat="1" applyFont="1" applyFill="1" applyBorder="1"/>
    <xf numFmtId="38" fontId="9" fillId="0" borderId="2" xfId="3" applyNumberFormat="1" applyFont="1" applyFill="1" applyBorder="1" applyAlignment="1">
      <alignment horizontal="center"/>
    </xf>
    <xf numFmtId="38" fontId="11" fillId="0" borderId="0" xfId="0" applyNumberFormat="1" applyFont="1" applyAlignment="1">
      <alignment horizontal="right"/>
    </xf>
    <xf numFmtId="0" fontId="2" fillId="0" borderId="0" xfId="0" applyFont="1"/>
    <xf numFmtId="38" fontId="2" fillId="0" borderId="0" xfId="3" applyNumberFormat="1" applyFont="1" applyBorder="1"/>
    <xf numFmtId="38" fontId="2" fillId="0" borderId="0" xfId="3" applyNumberFormat="1" applyFont="1" applyBorder="1" applyAlignment="1">
      <alignment horizontal="center"/>
    </xf>
    <xf numFmtId="40" fontId="9" fillId="0" borderId="0" xfId="1" applyNumberFormat="1" applyFont="1" applyBorder="1"/>
    <xf numFmtId="38" fontId="9" fillId="0" borderId="0" xfId="3" applyNumberFormat="1" applyFont="1" applyBorder="1"/>
    <xf numFmtId="38" fontId="15" fillId="0" borderId="0" xfId="0" applyNumberFormat="1" applyFont="1" applyAlignment="1">
      <alignment horizontal="left"/>
    </xf>
    <xf numFmtId="43" fontId="9" fillId="0" borderId="2" xfId="1" applyFont="1" applyFill="1" applyBorder="1" applyAlignment="1">
      <alignment horizontal="center"/>
    </xf>
    <xf numFmtId="38" fontId="6" fillId="0" borderId="0" xfId="0" applyNumberFormat="1" applyFont="1" applyBorder="1"/>
    <xf numFmtId="43" fontId="6" fillId="0" borderId="0" xfId="1" applyFont="1" applyBorder="1" applyAlignment="1">
      <alignment horizontal="center"/>
    </xf>
    <xf numFmtId="164" fontId="9" fillId="0" borderId="0" xfId="3" applyNumberFormat="1" applyFont="1"/>
    <xf numFmtId="165" fontId="10" fillId="0" borderId="0" xfId="0" applyNumberFormat="1" applyFont="1"/>
    <xf numFmtId="43" fontId="9" fillId="0" borderId="0" xfId="1" applyFont="1" applyFill="1" applyBorder="1" applyAlignment="1">
      <alignment horizontal="center"/>
    </xf>
    <xf numFmtId="40" fontId="9" fillId="0" borderId="0" xfId="0" applyNumberFormat="1" applyFont="1"/>
    <xf numFmtId="38" fontId="9" fillId="0" borderId="0" xfId="0" applyNumberFormat="1" applyFont="1" applyAlignment="1">
      <alignment horizontal="right"/>
    </xf>
    <xf numFmtId="38" fontId="9" fillId="0" borderId="0" xfId="0" applyNumberFormat="1" applyFont="1"/>
    <xf numFmtId="38" fontId="9" fillId="0" borderId="0" xfId="3" applyNumberFormat="1" applyFont="1" applyFill="1" applyBorder="1"/>
    <xf numFmtId="0" fontId="11" fillId="0" borderId="0" xfId="0" applyFont="1"/>
    <xf numFmtId="0" fontId="6" fillId="0" borderId="0" xfId="0" applyFont="1" applyFill="1" applyBorder="1"/>
    <xf numFmtId="0" fontId="6" fillId="0" borderId="0" xfId="0" applyFont="1" applyFill="1"/>
    <xf numFmtId="38" fontId="9" fillId="0" borderId="0" xfId="3" applyNumberFormat="1" applyFont="1" applyFill="1" applyBorder="1" applyAlignment="1">
      <alignment horizontal="center"/>
    </xf>
    <xf numFmtId="40" fontId="9" fillId="0" borderId="0" xfId="0" applyNumberFormat="1" applyFont="1" applyAlignment="1">
      <alignment horizontal="right"/>
    </xf>
    <xf numFmtId="43" fontId="9" fillId="0" borderId="2" xfId="1" applyFont="1" applyFill="1" applyBorder="1"/>
    <xf numFmtId="38" fontId="16" fillId="0" borderId="0" xfId="0" applyNumberFormat="1" applyFont="1" applyFill="1"/>
    <xf numFmtId="38" fontId="2" fillId="0" borderId="0" xfId="3" applyNumberFormat="1" applyFont="1" applyFill="1" applyBorder="1"/>
    <xf numFmtId="38" fontId="2" fillId="0" borderId="0" xfId="3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8" fontId="17" fillId="0" borderId="0" xfId="3" applyNumberFormat="1" applyFont="1" applyFill="1"/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38" fontId="2" fillId="0" borderId="0" xfId="0" applyNumberFormat="1" applyFont="1" applyFill="1" applyAlignment="1"/>
    <xf numFmtId="0" fontId="9" fillId="0" borderId="0" xfId="0" applyFont="1" applyFill="1" applyAlignment="1"/>
    <xf numFmtId="164" fontId="9" fillId="0" borderId="0" xfId="0" applyNumberFormat="1" applyFont="1"/>
    <xf numFmtId="164" fontId="9" fillId="2" borderId="0" xfId="0" applyNumberFormat="1" applyFont="1" applyFill="1"/>
    <xf numFmtId="0" fontId="0" fillId="0" borderId="0" xfId="0" applyAlignment="1">
      <alignment horizontal="center"/>
    </xf>
    <xf numFmtId="164" fontId="18" fillId="0" borderId="0" xfId="0" applyNumberFormat="1" applyFont="1"/>
    <xf numFmtId="164" fontId="18" fillId="2" borderId="0" xfId="1" applyNumberFormat="1" applyFont="1" applyFill="1"/>
    <xf numFmtId="0" fontId="19" fillId="0" borderId="0" xfId="0" applyFont="1" applyAlignment="1">
      <alignment horizontal="left"/>
    </xf>
    <xf numFmtId="0" fontId="2" fillId="0" borderId="0" xfId="0" applyFont="1" applyFill="1" applyBorder="1"/>
    <xf numFmtId="38" fontId="9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43" fontId="11" fillId="0" borderId="0" xfId="0" applyNumberFormat="1" applyFont="1"/>
    <xf numFmtId="0" fontId="9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164" fontId="2" fillId="0" borderId="0" xfId="3" applyNumberFormat="1" applyFont="1" applyFill="1"/>
    <xf numFmtId="0" fontId="2" fillId="0" borderId="0" xfId="0" applyFont="1" applyFill="1" applyBorder="1" applyAlignment="1">
      <alignment horizontal="right"/>
    </xf>
    <xf numFmtId="164" fontId="9" fillId="0" borderId="0" xfId="3" applyNumberFormat="1" applyFont="1" applyFill="1"/>
    <xf numFmtId="164" fontId="9" fillId="2" borderId="0" xfId="1" applyNumberFormat="1" applyFont="1" applyFill="1"/>
    <xf numFmtId="43" fontId="2" fillId="0" borderId="0" xfId="1" applyFont="1" applyFill="1" applyBorder="1" applyAlignment="1">
      <alignment horizontal="right"/>
    </xf>
    <xf numFmtId="164" fontId="18" fillId="0" borderId="0" xfId="3" applyNumberFormat="1" applyFont="1"/>
    <xf numFmtId="0" fontId="0" fillId="0" borderId="0" xfId="0" applyFill="1"/>
    <xf numFmtId="43" fontId="11" fillId="0" borderId="0" xfId="0" applyNumberFormat="1" applyFont="1" applyFill="1"/>
    <xf numFmtId="164" fontId="20" fillId="2" borderId="0" xfId="1" applyNumberFormat="1" applyFont="1" applyFill="1"/>
    <xf numFmtId="0" fontId="21" fillId="0" borderId="0" xfId="0" applyFont="1" applyAlignment="1"/>
    <xf numFmtId="164" fontId="9" fillId="0" borderId="0" xfId="0" applyNumberFormat="1" applyFont="1" applyBorder="1"/>
    <xf numFmtId="43" fontId="9" fillId="0" borderId="0" xfId="1" applyFont="1" applyFill="1" applyBorder="1" applyAlignment="1"/>
    <xf numFmtId="38" fontId="9" fillId="0" borderId="2" xfId="3" applyNumberFormat="1" applyFont="1" applyBorder="1"/>
    <xf numFmtId="167" fontId="18" fillId="0" borderId="0" xfId="3" applyNumberFormat="1" applyFont="1"/>
    <xf numFmtId="43" fontId="9" fillId="0" borderId="0" xfId="0" applyNumberFormat="1" applyFont="1" applyFill="1" applyBorder="1"/>
    <xf numFmtId="166" fontId="0" fillId="0" borderId="3" xfId="0" applyNumberFormat="1" applyBorder="1"/>
    <xf numFmtId="0" fontId="2" fillId="0" borderId="0" xfId="0" applyFont="1" applyAlignment="1">
      <alignment horizontal="center"/>
    </xf>
    <xf numFmtId="164" fontId="22" fillId="0" borderId="0" xfId="3" applyNumberFormat="1" applyFont="1" applyFill="1"/>
    <xf numFmtId="0" fontId="23" fillId="0" borderId="0" xfId="0" applyFont="1" applyFill="1" applyBorder="1" applyAlignment="1"/>
    <xf numFmtId="164" fontId="9" fillId="0" borderId="0" xfId="3" applyNumberFormat="1" applyFont="1" applyBorder="1"/>
    <xf numFmtId="0" fontId="2" fillId="0" borderId="0" xfId="0" applyFont="1" applyFill="1" applyBorder="1" applyAlignment="1">
      <alignment horizontal="center"/>
    </xf>
    <xf numFmtId="168" fontId="2" fillId="0" borderId="0" xfId="2" applyNumberFormat="1" applyFont="1" applyFill="1"/>
    <xf numFmtId="167" fontId="18" fillId="0" borderId="0" xfId="3" applyNumberFormat="1" applyFont="1" applyBorder="1"/>
    <xf numFmtId="43" fontId="9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38" fontId="19" fillId="0" borderId="0" xfId="4" applyNumberFormat="1" applyFont="1" applyFill="1" applyBorder="1"/>
    <xf numFmtId="0" fontId="11" fillId="0" borderId="0" xfId="0" applyFont="1" applyFill="1"/>
    <xf numFmtId="0" fontId="9" fillId="0" borderId="0" xfId="0" applyFont="1" applyBorder="1"/>
    <xf numFmtId="169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37" fontId="2" fillId="0" borderId="0" xfId="1" applyNumberFormat="1" applyFont="1" applyFill="1"/>
    <xf numFmtId="168" fontId="22" fillId="0" borderId="0" xfId="0" applyNumberFormat="1" applyFont="1" applyFill="1"/>
    <xf numFmtId="0" fontId="2" fillId="4" borderId="4" xfId="0" applyFont="1" applyFill="1" applyBorder="1" applyAlignment="1">
      <alignment horizontal="center"/>
    </xf>
    <xf numFmtId="44" fontId="2" fillId="4" borderId="4" xfId="2" applyNumberFormat="1" applyFont="1" applyFill="1" applyBorder="1"/>
    <xf numFmtId="0" fontId="0" fillId="0" borderId="0" xfId="0" applyBorder="1"/>
    <xf numFmtId="0" fontId="0" fillId="0" borderId="0" xfId="0" applyFill="1" applyBorder="1"/>
    <xf numFmtId="168" fontId="2" fillId="0" borderId="0" xfId="0" applyNumberFormat="1" applyFont="1" applyFill="1" applyBorder="1"/>
    <xf numFmtId="43" fontId="0" fillId="0" borderId="0" xfId="1" applyFont="1"/>
    <xf numFmtId="0" fontId="2" fillId="0" borderId="0" xfId="5" applyFont="1" applyProtection="1"/>
    <xf numFmtId="0" fontId="9" fillId="0" borderId="0" xfId="5" applyProtection="1"/>
    <xf numFmtId="0" fontId="24" fillId="0" borderId="0" xfId="5" applyFont="1" applyProtection="1"/>
    <xf numFmtId="0" fontId="25" fillId="0" borderId="0" xfId="5" applyFont="1" applyProtection="1"/>
    <xf numFmtId="0" fontId="26" fillId="2" borderId="5" xfId="5" applyFont="1" applyFill="1" applyBorder="1" applyAlignment="1" applyProtection="1"/>
    <xf numFmtId="16" fontId="26" fillId="2" borderId="5" xfId="5" quotePrefix="1" applyNumberFormat="1" applyFont="1" applyFill="1" applyBorder="1" applyAlignment="1" applyProtection="1"/>
    <xf numFmtId="0" fontId="26" fillId="2" borderId="5" xfId="5" quotePrefix="1" applyFont="1" applyFill="1" applyBorder="1" applyAlignment="1" applyProtection="1"/>
    <xf numFmtId="0" fontId="27" fillId="5" borderId="5" xfId="5" applyFont="1" applyFill="1" applyBorder="1" applyAlignment="1" applyProtection="1"/>
    <xf numFmtId="0" fontId="26" fillId="2" borderId="6" xfId="5" applyFont="1" applyFill="1" applyBorder="1" applyAlignment="1" applyProtection="1"/>
    <xf numFmtId="0" fontId="26" fillId="5" borderId="6" xfId="5" applyFont="1" applyFill="1" applyBorder="1" applyAlignment="1" applyProtection="1"/>
    <xf numFmtId="0" fontId="28" fillId="0" borderId="1" xfId="5" applyFont="1" applyBorder="1" applyAlignment="1" applyProtection="1"/>
    <xf numFmtId="0" fontId="28" fillId="0" borderId="0" xfId="5" applyFont="1" applyBorder="1" applyAlignment="1" applyProtection="1"/>
    <xf numFmtId="0" fontId="29" fillId="0" borderId="0" xfId="5" applyFont="1" applyBorder="1" applyAlignment="1" applyProtection="1"/>
    <xf numFmtId="0" fontId="28" fillId="0" borderId="1" xfId="5" applyFont="1" applyFill="1" applyBorder="1" applyAlignment="1" applyProtection="1"/>
    <xf numFmtId="0" fontId="28" fillId="0" borderId="0" xfId="5" applyFont="1" applyFill="1" applyBorder="1" applyAlignment="1" applyProtection="1"/>
    <xf numFmtId="0" fontId="28" fillId="5" borderId="0" xfId="5" applyFont="1" applyFill="1" applyBorder="1" applyAlignment="1" applyProtection="1"/>
    <xf numFmtId="0" fontId="28" fillId="0" borderId="7" xfId="5" applyFont="1" applyBorder="1" applyAlignment="1" applyProtection="1"/>
    <xf numFmtId="1" fontId="28" fillId="2" borderId="8" xfId="0" applyNumberFormat="1" applyFont="1" applyFill="1" applyBorder="1" applyAlignment="1" applyProtection="1">
      <protection locked="0"/>
    </xf>
    <xf numFmtId="164" fontId="28" fillId="2" borderId="8" xfId="1" applyNumberFormat="1" applyFont="1" applyFill="1" applyBorder="1" applyAlignment="1" applyProtection="1">
      <protection locked="0"/>
    </xf>
    <xf numFmtId="1" fontId="28" fillId="0" borderId="8" xfId="5" applyNumberFormat="1" applyFont="1" applyFill="1" applyBorder="1" applyAlignment="1" applyProtection="1"/>
    <xf numFmtId="10" fontId="28" fillId="0" borderId="8" xfId="5" applyNumberFormat="1" applyFont="1" applyFill="1" applyBorder="1" applyAlignment="1" applyProtection="1"/>
    <xf numFmtId="0" fontId="28" fillId="0" borderId="8" xfId="5" applyFont="1" applyFill="1" applyBorder="1" applyAlignment="1" applyProtection="1"/>
    <xf numFmtId="0" fontId="28" fillId="5" borderId="9" xfId="5" applyFont="1" applyFill="1" applyBorder="1" applyAlignment="1" applyProtection="1"/>
    <xf numFmtId="0" fontId="28" fillId="0" borderId="10" xfId="5" applyFont="1" applyBorder="1" applyAlignment="1" applyProtection="1"/>
    <xf numFmtId="1" fontId="28" fillId="2" borderId="11" xfId="0" applyNumberFormat="1" applyFont="1" applyFill="1" applyBorder="1" applyAlignment="1" applyProtection="1">
      <protection locked="0"/>
    </xf>
    <xf numFmtId="164" fontId="28" fillId="2" borderId="11" xfId="1" applyNumberFormat="1" applyFont="1" applyFill="1" applyBorder="1" applyAlignment="1" applyProtection="1">
      <protection locked="0"/>
    </xf>
    <xf numFmtId="1" fontId="28" fillId="0" borderId="11" xfId="5" applyNumberFormat="1" applyFont="1" applyFill="1" applyBorder="1" applyAlignment="1" applyProtection="1"/>
    <xf numFmtId="10" fontId="28" fillId="0" borderId="11" xfId="5" applyNumberFormat="1" applyFont="1" applyFill="1" applyBorder="1" applyAlignment="1" applyProtection="1"/>
    <xf numFmtId="0" fontId="28" fillId="0" borderId="11" xfId="5" applyFont="1" applyFill="1" applyBorder="1" applyAlignment="1" applyProtection="1"/>
    <xf numFmtId="0" fontId="28" fillId="5" borderId="12" xfId="5" applyFont="1" applyFill="1" applyBorder="1" applyAlignment="1" applyProtection="1"/>
    <xf numFmtId="0" fontId="28" fillId="0" borderId="10" xfId="5" applyFont="1" applyFill="1" applyBorder="1" applyAlignment="1" applyProtection="1"/>
    <xf numFmtId="0" fontId="28" fillId="2" borderId="11" xfId="0" applyFont="1" applyFill="1" applyBorder="1" applyAlignment="1" applyProtection="1">
      <protection locked="0"/>
    </xf>
    <xf numFmtId="164" fontId="28" fillId="0" borderId="11" xfId="1" applyNumberFormat="1" applyFont="1" applyBorder="1" applyAlignment="1" applyProtection="1"/>
    <xf numFmtId="0" fontId="28" fillId="0" borderId="13" xfId="5" applyFont="1" applyBorder="1" applyAlignment="1" applyProtection="1"/>
    <xf numFmtId="164" fontId="28" fillId="2" borderId="14" xfId="1" applyNumberFormat="1" applyFont="1" applyFill="1" applyBorder="1" applyAlignment="1" applyProtection="1">
      <protection locked="0"/>
    </xf>
    <xf numFmtId="1" fontId="28" fillId="0" borderId="14" xfId="5" applyNumberFormat="1" applyFont="1" applyFill="1" applyBorder="1" applyAlignment="1" applyProtection="1"/>
    <xf numFmtId="10" fontId="28" fillId="0" borderId="14" xfId="5" applyNumberFormat="1" applyFont="1" applyFill="1" applyBorder="1" applyAlignment="1" applyProtection="1"/>
    <xf numFmtId="0" fontId="28" fillId="0" borderId="14" xfId="5" applyFont="1" applyFill="1" applyBorder="1" applyAlignment="1" applyProtection="1"/>
    <xf numFmtId="0" fontId="28" fillId="5" borderId="15" xfId="5" applyFont="1" applyFill="1" applyBorder="1" applyAlignment="1" applyProtection="1"/>
    <xf numFmtId="1" fontId="28" fillId="0" borderId="0" xfId="5" applyNumberFormat="1" applyFont="1" applyFill="1" applyBorder="1" applyAlignment="1" applyProtection="1"/>
    <xf numFmtId="0" fontId="28" fillId="0" borderId="16" xfId="5" applyFont="1" applyBorder="1" applyAlignment="1" applyProtection="1"/>
    <xf numFmtId="1" fontId="28" fillId="0" borderId="17" xfId="5" applyNumberFormat="1" applyFont="1" applyBorder="1" applyAlignment="1" applyProtection="1"/>
    <xf numFmtId="1" fontId="28" fillId="0" borderId="17" xfId="5" applyNumberFormat="1" applyFont="1" applyFill="1" applyBorder="1" applyAlignment="1" applyProtection="1"/>
    <xf numFmtId="10" fontId="28" fillId="0" borderId="17" xfId="5" applyNumberFormat="1" applyFont="1" applyFill="1" applyBorder="1" applyAlignment="1" applyProtection="1"/>
    <xf numFmtId="0" fontId="28" fillId="0" borderId="17" xfId="5" applyFont="1" applyFill="1" applyBorder="1" applyAlignment="1" applyProtection="1"/>
    <xf numFmtId="0" fontId="28" fillId="5" borderId="18" xfId="5" applyFont="1" applyFill="1" applyBorder="1" applyAlignment="1" applyProtection="1"/>
    <xf numFmtId="0" fontId="9" fillId="6" borderId="0" xfId="0" applyFont="1" applyFill="1"/>
    <xf numFmtId="44" fontId="9" fillId="6" borderId="0" xfId="2" applyFont="1" applyFill="1" applyBorder="1"/>
    <xf numFmtId="44" fontId="9" fillId="0" borderId="0" xfId="2" applyFont="1" applyFill="1" applyBorder="1" applyAlignment="1"/>
    <xf numFmtId="44" fontId="9" fillId="0" borderId="0" xfId="0" applyNumberFormat="1" applyFont="1" applyFill="1" applyBorder="1"/>
    <xf numFmtId="0" fontId="9" fillId="0" borderId="2" xfId="0" applyFont="1" applyFill="1" applyBorder="1"/>
    <xf numFmtId="44" fontId="2" fillId="0" borderId="2" xfId="0" applyNumberFormat="1" applyFont="1" applyFill="1" applyBorder="1" applyAlignment="1">
      <alignment horizontal="right"/>
    </xf>
    <xf numFmtId="0" fontId="32" fillId="0" borderId="11" xfId="0" applyFont="1" applyBorder="1" applyAlignment="1">
      <alignment wrapText="1"/>
    </xf>
    <xf numFmtId="164" fontId="32" fillId="7" borderId="11" xfId="1" applyNumberFormat="1" applyFont="1" applyFill="1" applyBorder="1" applyAlignment="1">
      <alignment wrapText="1"/>
    </xf>
    <xf numFmtId="0" fontId="32" fillId="8" borderId="11" xfId="0" applyFont="1" applyFill="1" applyBorder="1" applyAlignment="1">
      <alignment wrapText="1"/>
    </xf>
    <xf numFmtId="0" fontId="32" fillId="7" borderId="11" xfId="0" applyFont="1" applyFill="1" applyBorder="1" applyAlignment="1">
      <alignment wrapText="1"/>
    </xf>
    <xf numFmtId="43" fontId="32" fillId="8" borderId="11" xfId="1" applyFont="1" applyFill="1" applyBorder="1" applyAlignment="1">
      <alignment wrapText="1"/>
    </xf>
    <xf numFmtId="0" fontId="0" fillId="0" borderId="11" xfId="0" applyBorder="1"/>
    <xf numFmtId="164" fontId="0" fillId="7" borderId="11" xfId="1" applyNumberFormat="1" applyFont="1" applyFill="1" applyBorder="1"/>
    <xf numFmtId="164" fontId="0" fillId="8" borderId="11" xfId="1" applyNumberFormat="1" applyFont="1" applyFill="1" applyBorder="1"/>
    <xf numFmtId="164" fontId="0" fillId="0" borderId="0" xfId="1" applyNumberFormat="1" applyFont="1"/>
    <xf numFmtId="168" fontId="32" fillId="0" borderId="0" xfId="2" applyNumberFormat="1" applyFont="1"/>
    <xf numFmtId="44" fontId="6" fillId="0" borderId="0" xfId="0" applyNumberFormat="1" applyFont="1"/>
    <xf numFmtId="44" fontId="0" fillId="0" borderId="0" xfId="0" applyNumberFormat="1"/>
    <xf numFmtId="44" fontId="2" fillId="0" borderId="0" xfId="0" applyNumberFormat="1" applyFont="1" applyFill="1" applyBorder="1" applyAlignment="1">
      <alignment horizontal="left"/>
    </xf>
    <xf numFmtId="38" fontId="6" fillId="0" borderId="0" xfId="0" applyNumberFormat="1" applyFont="1"/>
    <xf numFmtId="38" fontId="6" fillId="0" borderId="0" xfId="0" applyNumberFormat="1" applyFont="1" applyAlignment="1">
      <alignment horizontal="right"/>
    </xf>
    <xf numFmtId="165" fontId="2" fillId="0" borderId="0" xfId="0" applyNumberFormat="1" applyFont="1"/>
    <xf numFmtId="165" fontId="9" fillId="0" borderId="0" xfId="0" applyNumberFormat="1" applyFont="1"/>
  </cellXfs>
  <cellStyles count="6">
    <cellStyle name="Comma" xfId="1" builtinId="3"/>
    <cellStyle name="Comma 2" xfId="3"/>
    <cellStyle name="Currency" xfId="2" builtinId="4"/>
    <cellStyle name="Currency 2" xfId="4"/>
    <cellStyle name="Normal" xfId="0" builtinId="0"/>
    <cellStyle name="Normal 2 1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ngelety/Documents/Office%20Docs/Budget%20and%20Allocation/FY21/Weighted%20Avg/FY21%20Weighted%20Ave-October%20F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d Grades"/>
      <sheetName val="ACA"/>
      <sheetName val="ANCS-E"/>
      <sheetName val="ANCS-M"/>
      <sheetName val="CENTENNIAL"/>
      <sheetName val="DREW-E"/>
      <sheetName val="DREW-JASA"/>
      <sheetName val="KINDEZI WEST"/>
      <sheetName val="KINDEZI OFW"/>
      <sheetName val="KAC"/>
      <sheetName val="KIPP STRIVE"/>
      <sheetName val="KIPP STRIVE PRIM"/>
      <sheetName val="KIPP SOUL PRIMARY"/>
      <sheetName val="KIPP VISION"/>
      <sheetName val="KIPP VISION PRIM"/>
      <sheetName val="KIPP WAYS"/>
      <sheetName val="KIPP Soul Academy"/>
      <sheetName val="KIPP WAYS PRIMARY"/>
      <sheetName val="WESLEY"/>
      <sheetName val="WESTSIDE"/>
    </sheetNames>
    <sheetDataSet>
      <sheetData sheetId="0"/>
      <sheetData sheetId="1">
        <row r="4">
          <cell r="A4" t="str">
            <v>Weighted Average as of 11/06/2020 (OCT 2020 FTE009)</v>
          </cell>
        </row>
      </sheetData>
      <sheetData sheetId="2"/>
      <sheetData sheetId="3">
        <row r="3">
          <cell r="A3" t="str">
            <v>Weighted Average as of 11/06/2020 (OCT 2020 FTE009)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D31" zoomScaleNormal="100" workbookViewId="0">
      <selection activeCell="K55" sqref="K55"/>
    </sheetView>
  </sheetViews>
  <sheetFormatPr defaultRowHeight="15" x14ac:dyDescent="0.25"/>
  <cols>
    <col min="1" max="1" width="27" customWidth="1"/>
    <col min="2" max="2" width="14" bestFit="1" customWidth="1"/>
    <col min="3" max="3" width="17.7109375" customWidth="1"/>
    <col min="4" max="4" width="13" customWidth="1"/>
    <col min="6" max="6" width="13.28515625" customWidth="1"/>
    <col min="7" max="7" width="35.140625" customWidth="1"/>
    <col min="8" max="8" width="16" customWidth="1"/>
    <col min="10" max="10" width="15.42578125" customWidth="1"/>
    <col min="11" max="11" width="16.85546875" customWidth="1"/>
  </cols>
  <sheetData>
    <row r="1" spans="1:12" ht="26.25" x14ac:dyDescent="0.25">
      <c r="A1" s="1" t="s">
        <v>112</v>
      </c>
      <c r="B1" s="2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5" t="s">
        <v>116</v>
      </c>
      <c r="I1" s="6"/>
      <c r="J1" s="7"/>
      <c r="K1" s="8"/>
      <c r="L1" s="9"/>
    </row>
    <row r="2" spans="1:12" x14ac:dyDescent="0.25">
      <c r="A2" s="10" t="s">
        <v>6</v>
      </c>
      <c r="B2" s="11"/>
      <c r="C2" s="11"/>
      <c r="D2" s="3"/>
      <c r="E2" s="4"/>
      <c r="F2" s="4"/>
      <c r="G2" s="4"/>
      <c r="H2" s="12"/>
      <c r="I2" s="6"/>
      <c r="J2" s="7"/>
      <c r="K2" s="8"/>
      <c r="L2" s="9"/>
    </row>
    <row r="3" spans="1:12" x14ac:dyDescent="0.25">
      <c r="A3" s="13" t="s">
        <v>7</v>
      </c>
      <c r="B3" s="14">
        <v>86</v>
      </c>
      <c r="C3" s="64">
        <f>224898/358566</f>
        <v>0.62721507337561289</v>
      </c>
      <c r="D3" s="15">
        <f>358566/86</f>
        <v>4169.3720930232557</v>
      </c>
      <c r="E3" s="16">
        <f>6721/86</f>
        <v>78.151162790697668</v>
      </c>
      <c r="F3" s="17">
        <f>+(C3+1)*B3*D3</f>
        <v>583464</v>
      </c>
      <c r="G3" s="18">
        <f t="shared" ref="G3:G19" si="0">SUM(B3*E3)</f>
        <v>6720.9999999999991</v>
      </c>
      <c r="H3" s="19">
        <f>SUM(F3:G3)</f>
        <v>590185</v>
      </c>
      <c r="I3" s="20"/>
      <c r="J3" s="21"/>
      <c r="K3" s="8"/>
      <c r="L3" s="9"/>
    </row>
    <row r="4" spans="1:12" x14ac:dyDescent="0.25">
      <c r="A4" s="13" t="s">
        <v>8</v>
      </c>
      <c r="B4" s="22">
        <v>0</v>
      </c>
      <c r="C4" s="64">
        <f>12395/15237</f>
        <v>0.81348034389971779</v>
      </c>
      <c r="D4" s="68">
        <f>15237/3</f>
        <v>5079</v>
      </c>
      <c r="E4" s="24">
        <f>234/3</f>
        <v>78</v>
      </c>
      <c r="F4" s="17">
        <f t="shared" ref="F4:F19" si="1">+(C4+1)*B4*D4</f>
        <v>0</v>
      </c>
      <c r="G4" s="18">
        <f t="shared" si="0"/>
        <v>0</v>
      </c>
      <c r="H4" s="19">
        <f t="shared" ref="H4:H19" si="2">SUM(F4:G4)</f>
        <v>0</v>
      </c>
      <c r="I4" s="20"/>
      <c r="J4" s="21"/>
      <c r="K4" s="8"/>
      <c r="L4" s="9"/>
    </row>
    <row r="5" spans="1:12" x14ac:dyDescent="0.25">
      <c r="A5" s="13" t="s">
        <v>9</v>
      </c>
      <c r="B5" s="22">
        <v>252</v>
      </c>
      <c r="C5" s="64">
        <f>612312/771513</f>
        <v>0.79365091709407354</v>
      </c>
      <c r="D5" s="25">
        <f>771513/252</f>
        <v>3061.5595238095239</v>
      </c>
      <c r="E5" s="67">
        <f>21647/252</f>
        <v>85.900793650793645</v>
      </c>
      <c r="F5" s="17">
        <f t="shared" si="1"/>
        <v>1383825</v>
      </c>
      <c r="G5" s="18">
        <f t="shared" si="0"/>
        <v>21647</v>
      </c>
      <c r="H5" s="19">
        <f t="shared" si="2"/>
        <v>1405472</v>
      </c>
      <c r="I5" s="26"/>
      <c r="J5" s="27" t="s">
        <v>10</v>
      </c>
      <c r="K5" s="8"/>
      <c r="L5" s="9"/>
    </row>
    <row r="6" spans="1:12" x14ac:dyDescent="0.25">
      <c r="A6" s="28" t="s">
        <v>11</v>
      </c>
      <c r="B6" s="22">
        <v>15</v>
      </c>
      <c r="C6" s="64">
        <f>54482/68647</f>
        <v>0.79365449327720072</v>
      </c>
      <c r="D6" s="29">
        <f>68647/15</f>
        <v>4576.4666666666662</v>
      </c>
      <c r="E6" s="30">
        <f>1288/15</f>
        <v>85.86666666666666</v>
      </c>
      <c r="F6" s="17">
        <f t="shared" si="1"/>
        <v>123128.99999999999</v>
      </c>
      <c r="G6" s="18">
        <f t="shared" si="0"/>
        <v>1288</v>
      </c>
      <c r="H6" s="19">
        <f t="shared" si="2"/>
        <v>124416.99999999999</v>
      </c>
      <c r="I6" s="31"/>
      <c r="J6" s="21"/>
      <c r="K6" s="8"/>
      <c r="L6" s="9"/>
    </row>
    <row r="7" spans="1:12" x14ac:dyDescent="0.25">
      <c r="A7" s="28" t="s">
        <v>12</v>
      </c>
      <c r="B7" s="22">
        <v>165</v>
      </c>
      <c r="C7" s="64">
        <f>306041/385612</f>
        <v>0.79365009387674657</v>
      </c>
      <c r="D7" s="25">
        <f>385612/165</f>
        <v>2337.0424242424242</v>
      </c>
      <c r="E7" s="67">
        <f>11620/165</f>
        <v>70.424242424242422</v>
      </c>
      <c r="F7" s="17">
        <f t="shared" si="1"/>
        <v>691653</v>
      </c>
      <c r="G7" s="18">
        <f t="shared" si="0"/>
        <v>11620</v>
      </c>
      <c r="H7" s="19">
        <f t="shared" si="2"/>
        <v>703273</v>
      </c>
      <c r="I7" s="26"/>
      <c r="J7" s="21"/>
      <c r="K7" s="21"/>
      <c r="L7" s="9"/>
    </row>
    <row r="8" spans="1:12" x14ac:dyDescent="0.25">
      <c r="A8" s="28" t="s">
        <v>13</v>
      </c>
      <c r="B8" s="22">
        <v>12</v>
      </c>
      <c r="C8" s="64">
        <f>43585/54918</f>
        <v>0.79363778724644019</v>
      </c>
      <c r="D8" s="25">
        <f>54918/12</f>
        <v>4576.5</v>
      </c>
      <c r="E8" s="24">
        <f>845/12</f>
        <v>70.416666666666671</v>
      </c>
      <c r="F8" s="17">
        <f t="shared" si="1"/>
        <v>98503</v>
      </c>
      <c r="G8" s="18">
        <f t="shared" si="0"/>
        <v>845</v>
      </c>
      <c r="H8" s="19">
        <f t="shared" si="2"/>
        <v>99348</v>
      </c>
      <c r="I8" s="26"/>
      <c r="J8" s="21"/>
      <c r="K8" s="8"/>
      <c r="L8" s="9"/>
    </row>
    <row r="9" spans="1:12" x14ac:dyDescent="0.25">
      <c r="A9" s="28" t="s">
        <v>14</v>
      </c>
      <c r="B9" s="22">
        <v>208</v>
      </c>
      <c r="C9" s="64">
        <f>436628/550152</f>
        <v>0.79364975497680645</v>
      </c>
      <c r="D9" s="25">
        <f>550152/208</f>
        <v>2644.9615384615386</v>
      </c>
      <c r="E9" s="24">
        <f>14647/208</f>
        <v>70.418269230769226</v>
      </c>
      <c r="F9" s="17">
        <f t="shared" si="1"/>
        <v>986780.00000000012</v>
      </c>
      <c r="G9" s="18">
        <f t="shared" si="0"/>
        <v>14647</v>
      </c>
      <c r="H9" s="19">
        <f t="shared" si="2"/>
        <v>1001427.0000000001</v>
      </c>
      <c r="I9" s="26"/>
      <c r="J9" s="21"/>
      <c r="K9" s="8"/>
      <c r="L9" s="9"/>
    </row>
    <row r="10" spans="1:12" x14ac:dyDescent="0.25">
      <c r="A10" s="32" t="s">
        <v>15</v>
      </c>
      <c r="B10" s="33">
        <v>0</v>
      </c>
      <c r="C10" s="34"/>
      <c r="D10" s="35"/>
      <c r="E10" s="36"/>
      <c r="F10" s="37">
        <f t="shared" si="1"/>
        <v>0</v>
      </c>
      <c r="G10" s="38">
        <f t="shared" si="0"/>
        <v>0</v>
      </c>
      <c r="H10" s="39">
        <f t="shared" si="2"/>
        <v>0</v>
      </c>
      <c r="I10" s="26"/>
      <c r="J10" s="21"/>
      <c r="K10" s="8"/>
      <c r="L10" s="9"/>
    </row>
    <row r="11" spans="1:12" x14ac:dyDescent="0.25">
      <c r="A11" s="13" t="s">
        <v>16</v>
      </c>
      <c r="B11" s="33">
        <v>0</v>
      </c>
      <c r="C11" s="34"/>
      <c r="D11" s="35"/>
      <c r="E11" s="36"/>
      <c r="F11" s="37">
        <f t="shared" si="1"/>
        <v>0</v>
      </c>
      <c r="G11" s="38">
        <f t="shared" si="0"/>
        <v>0</v>
      </c>
      <c r="H11" s="39">
        <f t="shared" si="2"/>
        <v>0</v>
      </c>
      <c r="I11" s="26"/>
      <c r="J11" s="21"/>
      <c r="K11" s="8"/>
      <c r="L11" s="9"/>
    </row>
    <row r="12" spans="1:12" x14ac:dyDescent="0.25">
      <c r="A12" s="28" t="s">
        <v>17</v>
      </c>
      <c r="B12" s="22">
        <v>2</v>
      </c>
      <c r="C12" s="64">
        <f>9436/11889</f>
        <v>0.79367482546892087</v>
      </c>
      <c r="D12" s="25">
        <f>11889/2</f>
        <v>5944.5</v>
      </c>
      <c r="E12" s="24">
        <f>498/2</f>
        <v>249</v>
      </c>
      <c r="F12" s="17">
        <f t="shared" si="1"/>
        <v>21325</v>
      </c>
      <c r="G12" s="18">
        <f t="shared" si="0"/>
        <v>498</v>
      </c>
      <c r="H12" s="19">
        <f t="shared" si="2"/>
        <v>21823</v>
      </c>
      <c r="I12" s="40"/>
      <c r="J12" s="41"/>
      <c r="K12" s="42"/>
      <c r="L12" s="9"/>
    </row>
    <row r="13" spans="1:12" x14ac:dyDescent="0.25">
      <c r="A13" s="28" t="s">
        <v>18</v>
      </c>
      <c r="B13" s="22">
        <v>1</v>
      </c>
      <c r="C13" s="64">
        <f>5799/7307</f>
        <v>0.79362255371561519</v>
      </c>
      <c r="D13" s="25">
        <f>7307/1</f>
        <v>7307</v>
      </c>
      <c r="E13" s="24">
        <f>131/1</f>
        <v>131</v>
      </c>
      <c r="F13" s="17">
        <f t="shared" si="1"/>
        <v>13106</v>
      </c>
      <c r="G13" s="18">
        <f t="shared" si="0"/>
        <v>131</v>
      </c>
      <c r="H13" s="19">
        <f t="shared" si="2"/>
        <v>13237</v>
      </c>
      <c r="I13" s="43"/>
      <c r="J13" s="41"/>
      <c r="K13" s="44"/>
      <c r="L13" s="9"/>
    </row>
    <row r="14" spans="1:12" x14ac:dyDescent="0.25">
      <c r="A14" s="28" t="s">
        <v>19</v>
      </c>
      <c r="B14" s="22">
        <v>8</v>
      </c>
      <c r="C14" s="64">
        <f>60227/75886</f>
        <v>0.79365100282001955</v>
      </c>
      <c r="D14" s="25">
        <f>75886/8</f>
        <v>9485.75</v>
      </c>
      <c r="E14" s="67">
        <f>1634/8</f>
        <v>204.25</v>
      </c>
      <c r="F14" s="17">
        <f t="shared" si="1"/>
        <v>136113</v>
      </c>
      <c r="G14" s="18">
        <f t="shared" si="0"/>
        <v>1634</v>
      </c>
      <c r="H14" s="19">
        <f t="shared" si="2"/>
        <v>137747</v>
      </c>
      <c r="I14" s="43"/>
      <c r="J14" s="41"/>
      <c r="K14" s="45"/>
      <c r="L14" s="9"/>
    </row>
    <row r="15" spans="1:12" s="47" customFormat="1" x14ac:dyDescent="0.25">
      <c r="A15" s="28" t="s">
        <v>20</v>
      </c>
      <c r="B15" s="22">
        <v>2</v>
      </c>
      <c r="C15" s="64">
        <f>25049/31562</f>
        <v>0.79364425575058617</v>
      </c>
      <c r="D15" s="25">
        <f>31562/2</f>
        <v>15781</v>
      </c>
      <c r="E15" s="68">
        <f>845/2</f>
        <v>422.5</v>
      </c>
      <c r="F15" s="17">
        <f t="shared" si="1"/>
        <v>56611</v>
      </c>
      <c r="G15" s="18">
        <f t="shared" si="0"/>
        <v>845</v>
      </c>
      <c r="H15" s="19">
        <f t="shared" si="2"/>
        <v>57456</v>
      </c>
      <c r="I15" s="40"/>
      <c r="J15" s="46"/>
      <c r="K15" s="32"/>
      <c r="L15" s="27"/>
    </row>
    <row r="16" spans="1:12" x14ac:dyDescent="0.25">
      <c r="A16" s="48" t="s">
        <v>21</v>
      </c>
      <c r="B16" s="22">
        <v>7</v>
      </c>
      <c r="C16" s="64">
        <f>33026/41612</f>
        <v>0.79366528885898302</v>
      </c>
      <c r="D16" s="25">
        <f>41612/7</f>
        <v>5944.5714285714284</v>
      </c>
      <c r="E16" s="24">
        <f>2957/7</f>
        <v>422.42857142857144</v>
      </c>
      <c r="F16" s="17">
        <f t="shared" si="1"/>
        <v>74638</v>
      </c>
      <c r="G16" s="18">
        <f t="shared" si="0"/>
        <v>2957</v>
      </c>
      <c r="H16" s="19">
        <f t="shared" si="2"/>
        <v>77595</v>
      </c>
      <c r="I16" s="26"/>
      <c r="J16" s="21"/>
      <c r="K16" s="8"/>
      <c r="L16" s="9"/>
    </row>
    <row r="17" spans="1:12" x14ac:dyDescent="0.25">
      <c r="A17" s="48" t="s">
        <v>22</v>
      </c>
      <c r="B17" s="22">
        <v>8</v>
      </c>
      <c r="C17" s="64">
        <f>25253/31819</f>
        <v>0.79364530626355323</v>
      </c>
      <c r="D17" s="25">
        <f>31819/8</f>
        <v>3977.375</v>
      </c>
      <c r="E17" s="24">
        <f>807/8</f>
        <v>100.875</v>
      </c>
      <c r="F17" s="17">
        <f t="shared" si="1"/>
        <v>57072.000000000007</v>
      </c>
      <c r="G17" s="18">
        <f t="shared" si="0"/>
        <v>807</v>
      </c>
      <c r="H17" s="19">
        <f t="shared" si="2"/>
        <v>57879.000000000007</v>
      </c>
      <c r="I17" s="26"/>
      <c r="J17" s="21"/>
      <c r="K17" s="8"/>
      <c r="L17" s="9"/>
    </row>
    <row r="18" spans="1:12" x14ac:dyDescent="0.25">
      <c r="A18" s="28" t="s">
        <v>23</v>
      </c>
      <c r="B18" s="22">
        <v>1</v>
      </c>
      <c r="C18" s="64">
        <f>2615/3295</f>
        <v>0.79362670713201822</v>
      </c>
      <c r="D18" s="25">
        <f>3295/1</f>
        <v>3295</v>
      </c>
      <c r="E18" s="24">
        <f>57/1</f>
        <v>57</v>
      </c>
      <c r="F18" s="17">
        <f t="shared" si="1"/>
        <v>5910</v>
      </c>
      <c r="G18" s="18">
        <f t="shared" si="0"/>
        <v>57</v>
      </c>
      <c r="H18" s="19">
        <f t="shared" si="2"/>
        <v>5967</v>
      </c>
      <c r="I18" s="26"/>
      <c r="J18" s="21"/>
      <c r="K18" s="8"/>
      <c r="L18" s="9"/>
    </row>
    <row r="19" spans="1:12" x14ac:dyDescent="0.25">
      <c r="A19" s="13" t="s">
        <v>24</v>
      </c>
      <c r="B19" s="33">
        <v>2</v>
      </c>
      <c r="C19" s="64">
        <f>10940/13785</f>
        <v>0.79361624954660859</v>
      </c>
      <c r="D19" s="25">
        <f>13785/2</f>
        <v>6892.5</v>
      </c>
      <c r="E19" s="24">
        <f>115/2</f>
        <v>57.5</v>
      </c>
      <c r="F19" s="37">
        <f t="shared" si="1"/>
        <v>24725</v>
      </c>
      <c r="G19" s="38">
        <f t="shared" si="0"/>
        <v>115</v>
      </c>
      <c r="H19" s="39">
        <f t="shared" si="2"/>
        <v>24840</v>
      </c>
      <c r="I19" s="26"/>
      <c r="J19" s="21"/>
      <c r="K19" s="8"/>
      <c r="L19" s="9"/>
    </row>
    <row r="20" spans="1:12" x14ac:dyDescent="0.25">
      <c r="A20" s="49" t="s">
        <v>25</v>
      </c>
      <c r="B20" s="50">
        <f>SUM(B3:B19)</f>
        <v>769</v>
      </c>
      <c r="C20" s="205"/>
      <c r="D20" s="25"/>
      <c r="E20" s="67"/>
      <c r="F20" s="51">
        <f>SUM(F3:F19)</f>
        <v>4256854</v>
      </c>
      <c r="G20" s="52">
        <f>SUM(G3:G19)</f>
        <v>63812</v>
      </c>
      <c r="H20" s="51">
        <f>SUM(H3:H19)</f>
        <v>4320666</v>
      </c>
      <c r="I20" s="53">
        <f>SUM(F20:G20)</f>
        <v>4320666</v>
      </c>
      <c r="J20" s="21"/>
      <c r="K20" s="8"/>
      <c r="L20" s="9"/>
    </row>
    <row r="21" spans="1:12" x14ac:dyDescent="0.25">
      <c r="A21" s="54" t="s">
        <v>26</v>
      </c>
      <c r="B21" s="22"/>
      <c r="C21" s="206"/>
      <c r="D21" s="25"/>
      <c r="E21" s="67"/>
      <c r="F21" s="55"/>
      <c r="G21" s="56"/>
      <c r="H21" s="55"/>
      <c r="I21" s="31"/>
      <c r="J21" s="21"/>
      <c r="K21" s="8"/>
      <c r="L21" s="9"/>
    </row>
    <row r="22" spans="1:12" x14ac:dyDescent="0.25">
      <c r="A22" s="13" t="s">
        <v>27</v>
      </c>
      <c r="B22" s="22">
        <f>B20</f>
        <v>769</v>
      </c>
      <c r="C22" s="64">
        <f>21626/14626</f>
        <v>1.4785997538629838</v>
      </c>
      <c r="D22" s="57">
        <f>14626/769</f>
        <v>19.019505851755525</v>
      </c>
      <c r="E22" s="24"/>
      <c r="F22" s="17">
        <f>+(C22+1)*B22*D22</f>
        <v>36251.999999999993</v>
      </c>
      <c r="G22" s="18"/>
      <c r="H22" s="58">
        <f>SUM(F22:G22)</f>
        <v>36251.999999999993</v>
      </c>
      <c r="I22" s="31"/>
      <c r="J22" s="21"/>
      <c r="K22" s="13"/>
      <c r="L22" s="27"/>
    </row>
    <row r="23" spans="1:12" ht="15.75" x14ac:dyDescent="0.3">
      <c r="A23" s="13" t="s">
        <v>28</v>
      </c>
      <c r="B23" s="22">
        <f>B20</f>
        <v>769</v>
      </c>
      <c r="C23" s="64">
        <f>21626/14626</f>
        <v>1.4785997538629838</v>
      </c>
      <c r="D23" s="57">
        <f>14626/769</f>
        <v>19.019505851755525</v>
      </c>
      <c r="E23" s="67"/>
      <c r="F23" s="17">
        <f>+(C23+1)*B23*D23</f>
        <v>36251.999999999993</v>
      </c>
      <c r="G23" s="18"/>
      <c r="H23" s="58">
        <f>SUM(F23:G23)</f>
        <v>36251.999999999993</v>
      </c>
      <c r="I23" s="59"/>
      <c r="J23" s="8"/>
      <c r="K23" s="13"/>
      <c r="L23" s="27"/>
    </row>
    <row r="24" spans="1:12" x14ac:dyDescent="0.25">
      <c r="A24" s="49" t="s">
        <v>25</v>
      </c>
      <c r="B24" s="22"/>
      <c r="C24" s="206"/>
      <c r="D24" s="203"/>
      <c r="E24" s="204"/>
      <c r="F24" s="51">
        <f>SUM(F22:F23)</f>
        <v>72503.999999999985</v>
      </c>
      <c r="G24" s="60">
        <f>SUM(G22:G23)</f>
        <v>0</v>
      </c>
      <c r="H24" s="51">
        <f>SUM(H22:H23)</f>
        <v>72503.999999999985</v>
      </c>
      <c r="I24" s="53">
        <f>SUM(F24:G24)</f>
        <v>72503.999999999985</v>
      </c>
      <c r="J24" s="13"/>
      <c r="K24" s="13"/>
      <c r="L24" s="27"/>
    </row>
    <row r="25" spans="1:12" x14ac:dyDescent="0.25">
      <c r="A25" s="54" t="s">
        <v>29</v>
      </c>
      <c r="B25" s="22"/>
      <c r="C25" s="206"/>
      <c r="D25" s="68"/>
      <c r="E25" s="67"/>
      <c r="F25" s="61"/>
      <c r="G25" s="62"/>
      <c r="H25" s="19"/>
      <c r="I25" s="31"/>
      <c r="J25" s="63"/>
      <c r="K25" s="13"/>
      <c r="L25" s="27"/>
    </row>
    <row r="26" spans="1:12" x14ac:dyDescent="0.25">
      <c r="A26" s="13" t="s">
        <v>30</v>
      </c>
      <c r="B26" s="22"/>
      <c r="C26" s="64">
        <f>44824/56478</f>
        <v>0.79365416622401641</v>
      </c>
      <c r="D26" s="67">
        <v>56478</v>
      </c>
      <c r="F26" s="17">
        <f>+(C26+1)*D26</f>
        <v>101302</v>
      </c>
      <c r="G26" s="65"/>
      <c r="H26" s="19">
        <f>SUM(F26:G26)</f>
        <v>101302</v>
      </c>
      <c r="I26" s="26"/>
      <c r="J26" s="13"/>
      <c r="K26" s="13"/>
      <c r="L26" s="27"/>
    </row>
    <row r="27" spans="1:12" x14ac:dyDescent="0.25">
      <c r="A27" s="13" t="s">
        <v>31</v>
      </c>
      <c r="B27" s="22">
        <f>B20</f>
        <v>769</v>
      </c>
      <c r="C27" s="64">
        <f>36301/45739</f>
        <v>0.79365530510067994</v>
      </c>
      <c r="D27" s="66">
        <f>45739/769</f>
        <v>59.478543563068918</v>
      </c>
      <c r="E27" s="67"/>
      <c r="F27" s="17">
        <f>+(C27+1)*B27*D27</f>
        <v>82040</v>
      </c>
      <c r="G27" s="65"/>
      <c r="H27" s="19">
        <f>SUM(F27:G27)</f>
        <v>82040</v>
      </c>
      <c r="I27" s="31"/>
      <c r="J27" s="13"/>
      <c r="K27" s="13"/>
      <c r="L27" s="27"/>
    </row>
    <row r="28" spans="1:12" x14ac:dyDescent="0.25">
      <c r="A28" s="13" t="s">
        <v>32</v>
      </c>
      <c r="B28" s="22">
        <f>B20</f>
        <v>769</v>
      </c>
      <c r="C28" s="64"/>
      <c r="D28" s="66">
        <f>27055/769</f>
        <v>35.182054616384917</v>
      </c>
      <c r="E28" s="67"/>
      <c r="F28" s="17">
        <f>(C28+1)*B28*D28</f>
        <v>27055</v>
      </c>
      <c r="G28" s="65"/>
      <c r="H28" s="19">
        <f>SUM(F28:G28)</f>
        <v>27055</v>
      </c>
      <c r="I28" s="31"/>
      <c r="J28" s="13"/>
      <c r="K28" s="13"/>
      <c r="L28" s="27"/>
    </row>
    <row r="29" spans="1:12" x14ac:dyDescent="0.25">
      <c r="A29" s="49" t="s">
        <v>25</v>
      </c>
      <c r="B29" s="22"/>
      <c r="C29" s="64"/>
      <c r="D29" s="68"/>
      <c r="E29" s="67"/>
      <c r="F29" s="51">
        <f>SUM(F26:F28)</f>
        <v>210397</v>
      </c>
      <c r="G29" s="60">
        <f>SUM(G26:G28)</f>
        <v>0</v>
      </c>
      <c r="H29" s="51">
        <f>SUM(H26:H28)</f>
        <v>210397</v>
      </c>
      <c r="I29" s="53">
        <f>SUM(F29:G29)</f>
        <v>210397</v>
      </c>
      <c r="J29" s="13"/>
      <c r="K29" s="13"/>
      <c r="L29" s="27"/>
    </row>
    <row r="30" spans="1:12" x14ac:dyDescent="0.25">
      <c r="A30" s="49"/>
      <c r="B30" s="22"/>
      <c r="C30" s="64"/>
      <c r="D30" s="68"/>
      <c r="E30" s="67"/>
      <c r="F30" s="69"/>
      <c r="G30" s="65"/>
      <c r="H30" s="69"/>
      <c r="I30" s="53"/>
      <c r="J30" s="13"/>
      <c r="K30" s="13"/>
      <c r="L30" s="27"/>
    </row>
    <row r="31" spans="1:12" x14ac:dyDescent="0.25">
      <c r="A31" s="13" t="s">
        <v>33</v>
      </c>
      <c r="B31" s="22">
        <f>B20</f>
        <v>769</v>
      </c>
      <c r="C31" s="64">
        <f>58300/73458</f>
        <v>0.79365079365079361</v>
      </c>
      <c r="D31" s="66">
        <f>73458/769</f>
        <v>95.524057217165151</v>
      </c>
      <c r="E31" s="67"/>
      <c r="F31" s="17">
        <f>(C31+1)*B31*D31</f>
        <v>131758</v>
      </c>
      <c r="G31" s="65"/>
      <c r="H31" s="19">
        <f>SUM(F31:G31)</f>
        <v>131758</v>
      </c>
      <c r="I31" s="26"/>
      <c r="J31" s="13"/>
      <c r="K31" s="13"/>
      <c r="L31" s="27"/>
    </row>
    <row r="32" spans="1:12" x14ac:dyDescent="0.25">
      <c r="A32" s="13" t="s">
        <v>34</v>
      </c>
      <c r="B32" s="22">
        <f>B20</f>
        <v>769</v>
      </c>
      <c r="C32" s="64">
        <f>18569/23397</f>
        <v>0.79364875838782745</v>
      </c>
      <c r="D32" s="66">
        <f>23397/769</f>
        <v>30.425227568270483</v>
      </c>
      <c r="E32" s="67"/>
      <c r="F32" s="17">
        <f>(C32+1)*B32*D32</f>
        <v>41966</v>
      </c>
      <c r="G32" s="65"/>
      <c r="H32" s="19">
        <f>SUM(F32:G32)</f>
        <v>41966</v>
      </c>
      <c r="I32" s="70"/>
      <c r="J32" s="13"/>
      <c r="K32" s="13"/>
      <c r="L32" s="27"/>
    </row>
    <row r="33" spans="1:12" x14ac:dyDescent="0.25">
      <c r="A33" s="49" t="s">
        <v>25</v>
      </c>
      <c r="B33" s="71"/>
      <c r="C33" s="8"/>
      <c r="D33" s="68"/>
      <c r="E33" s="67"/>
      <c r="F33" s="51">
        <f>SUM(F31:F32)</f>
        <v>173724</v>
      </c>
      <c r="G33" s="60">
        <f>SUM(G31:G32)</f>
        <v>0</v>
      </c>
      <c r="H33" s="51">
        <f>SUM(H31:H32)</f>
        <v>173724</v>
      </c>
      <c r="I33" s="53">
        <f>SUM(F33:G33)</f>
        <v>173724</v>
      </c>
      <c r="J33" s="13"/>
      <c r="K33" s="13"/>
      <c r="L33" s="27"/>
    </row>
    <row r="34" spans="1:12" x14ac:dyDescent="0.25">
      <c r="A34" s="54" t="s">
        <v>35</v>
      </c>
      <c r="B34" s="71"/>
      <c r="C34" s="8"/>
      <c r="D34" s="68"/>
      <c r="E34" s="67"/>
      <c r="F34" s="69"/>
      <c r="G34" s="73"/>
      <c r="H34" s="69"/>
      <c r="I34" s="53"/>
      <c r="J34" s="13"/>
      <c r="K34" s="13"/>
      <c r="L34" s="27"/>
    </row>
    <row r="35" spans="1:12" x14ac:dyDescent="0.25">
      <c r="A35" s="28" t="s">
        <v>36</v>
      </c>
      <c r="B35" s="22">
        <f>B20</f>
        <v>769</v>
      </c>
      <c r="C35" s="68"/>
      <c r="D35" s="68"/>
      <c r="E35" s="74">
        <f>5603/769</f>
        <v>7.2860858257477243</v>
      </c>
      <c r="F35" s="69"/>
      <c r="G35" s="18">
        <f>SUM(B35*E35)</f>
        <v>5603</v>
      </c>
      <c r="H35" s="19">
        <f>SUM(F35:G35)</f>
        <v>5603</v>
      </c>
      <c r="I35" s="53"/>
      <c r="J35" s="13"/>
      <c r="K35" s="13"/>
      <c r="L35" s="27"/>
    </row>
    <row r="36" spans="1:12" x14ac:dyDescent="0.25">
      <c r="A36" s="13" t="s">
        <v>37</v>
      </c>
      <c r="B36" s="22">
        <f>B20</f>
        <v>769</v>
      </c>
      <c r="C36" s="68"/>
      <c r="D36" s="13"/>
      <c r="E36" s="74">
        <f>229162/769</f>
        <v>298</v>
      </c>
      <c r="F36" s="69"/>
      <c r="G36" s="18">
        <f>SUM(B36*E36)</f>
        <v>229162</v>
      </c>
      <c r="H36" s="19">
        <f>SUM(F36:G36)</f>
        <v>229162</v>
      </c>
      <c r="I36" s="53"/>
      <c r="J36" s="13"/>
      <c r="K36" s="13"/>
      <c r="L36" s="13"/>
    </row>
    <row r="37" spans="1:12" x14ac:dyDescent="0.25">
      <c r="A37" s="13" t="s">
        <v>38</v>
      </c>
      <c r="B37" s="22">
        <f>B20</f>
        <v>769</v>
      </c>
      <c r="C37" s="68"/>
      <c r="D37" s="13"/>
      <c r="E37" s="74">
        <f>11228/769</f>
        <v>14.600780234070221</v>
      </c>
      <c r="F37" s="69"/>
      <c r="G37" s="73">
        <f>SUM(B37*E37)</f>
        <v>11228</v>
      </c>
      <c r="H37" s="58">
        <f>SUM(F37:G37)</f>
        <v>11228</v>
      </c>
      <c r="I37" s="53"/>
      <c r="J37" s="13"/>
      <c r="K37" s="13"/>
      <c r="L37" s="13"/>
    </row>
    <row r="38" spans="1:12" x14ac:dyDescent="0.25">
      <c r="A38" s="28" t="s">
        <v>39</v>
      </c>
      <c r="B38" s="22">
        <f>B20</f>
        <v>769</v>
      </c>
      <c r="C38" s="68"/>
      <c r="D38" s="68"/>
      <c r="E38" s="74">
        <f>18323/769</f>
        <v>23.82704811443433</v>
      </c>
      <c r="F38" s="33"/>
      <c r="G38" s="73">
        <f>SUM(B38*E38)</f>
        <v>18323</v>
      </c>
      <c r="H38" s="69">
        <f>SUM(F38:G38)</f>
        <v>18323</v>
      </c>
      <c r="I38" s="53"/>
      <c r="J38" s="13"/>
      <c r="K38" s="13"/>
      <c r="L38" s="13"/>
    </row>
    <row r="39" spans="1:12" x14ac:dyDescent="0.25">
      <c r="A39" s="28" t="s">
        <v>40</v>
      </c>
      <c r="B39" s="22">
        <f>B20</f>
        <v>769</v>
      </c>
      <c r="C39" s="68"/>
      <c r="D39" s="68"/>
      <c r="E39" s="74">
        <f>349/769</f>
        <v>0.45383615084525358</v>
      </c>
      <c r="F39" s="33"/>
      <c r="G39" s="18">
        <f>SUM(B39*E39)</f>
        <v>349</v>
      </c>
      <c r="H39" s="19">
        <f>SUM(F39:G39)</f>
        <v>349</v>
      </c>
      <c r="I39" s="53"/>
      <c r="J39" s="13"/>
      <c r="K39" s="13"/>
      <c r="L39" s="13"/>
    </row>
    <row r="40" spans="1:12" x14ac:dyDescent="0.25">
      <c r="A40" s="49" t="s">
        <v>25</v>
      </c>
      <c r="B40" s="72"/>
      <c r="C40" s="72"/>
      <c r="D40" s="68"/>
      <c r="E40" s="13"/>
      <c r="F40" s="75">
        <f>SUM(F38:F39)</f>
        <v>0</v>
      </c>
      <c r="G40" s="52">
        <f>SUM(G35:G39)</f>
        <v>264665</v>
      </c>
      <c r="H40" s="51">
        <f>SUM(H35:H39)</f>
        <v>264665</v>
      </c>
      <c r="I40" s="53">
        <f>SUM(F40:G40)</f>
        <v>264665</v>
      </c>
      <c r="J40" s="13"/>
      <c r="K40" s="13"/>
      <c r="L40" s="13"/>
    </row>
    <row r="41" spans="1:12" x14ac:dyDescent="0.25">
      <c r="A41" s="49" t="s">
        <v>41</v>
      </c>
      <c r="B41" s="50">
        <f>B20</f>
        <v>769</v>
      </c>
      <c r="C41" s="76"/>
      <c r="D41" s="68"/>
      <c r="E41" s="13"/>
      <c r="F41" s="77">
        <f>F20+F24+F29+F33</f>
        <v>4713479</v>
      </c>
      <c r="G41" s="78">
        <f>G20+G24+G29+G33+G40</f>
        <v>328477</v>
      </c>
      <c r="H41" s="77">
        <f>H20+H24+H29+H33+H40</f>
        <v>5041956</v>
      </c>
      <c r="I41" s="53">
        <f>SUM(I20:I40)</f>
        <v>5041956</v>
      </c>
      <c r="J41" s="13"/>
    </row>
    <row r="42" spans="1:12" ht="16.5" x14ac:dyDescent="0.35">
      <c r="A42" s="28"/>
      <c r="G42" s="79" t="s">
        <v>42</v>
      </c>
      <c r="H42" s="80">
        <f>SUM(K53*-1)</f>
        <v>0</v>
      </c>
      <c r="I42" s="70"/>
      <c r="J42" s="13"/>
      <c r="K42" s="13"/>
      <c r="L42" s="81" t="s">
        <v>43</v>
      </c>
    </row>
    <row r="43" spans="1:12" x14ac:dyDescent="0.25">
      <c r="A43" s="184" t="s">
        <v>90</v>
      </c>
      <c r="B43" s="185">
        <f>H55/B41</f>
        <v>17169.697107309072</v>
      </c>
      <c r="C43" s="22"/>
      <c r="D43" s="13"/>
      <c r="E43" s="13"/>
      <c r="F43" s="82"/>
      <c r="G43" s="83" t="s">
        <v>44</v>
      </c>
      <c r="H43" s="84">
        <f>SUM(H41:H42)</f>
        <v>5041956</v>
      </c>
      <c r="I43" s="85"/>
      <c r="J43" s="86">
        <f>H41</f>
        <v>5041956</v>
      </c>
      <c r="K43" s="87"/>
      <c r="L43" s="28" t="s">
        <v>45</v>
      </c>
    </row>
    <row r="44" spans="1:12" ht="16.5" x14ac:dyDescent="0.35">
      <c r="A44" s="13"/>
      <c r="B44" s="200"/>
      <c r="C44" s="8"/>
      <c r="D44" s="13"/>
      <c r="E44" s="13"/>
      <c r="F44" s="23"/>
      <c r="G44" s="88"/>
      <c r="H44" s="23"/>
      <c r="I44" s="26"/>
      <c r="J44" s="89">
        <v>357860054</v>
      </c>
      <c r="K44" s="90">
        <v>357860054</v>
      </c>
      <c r="L44" s="91" t="s">
        <v>46</v>
      </c>
    </row>
    <row r="45" spans="1:12" x14ac:dyDescent="0.25">
      <c r="A45" s="92"/>
      <c r="B45" s="200"/>
      <c r="C45" s="92"/>
      <c r="D45" s="93"/>
      <c r="E45" s="93"/>
      <c r="F45" s="93"/>
      <c r="G45" s="94" t="s">
        <v>47</v>
      </c>
      <c r="I45" s="95"/>
      <c r="J45" s="21">
        <f>SUM(J43/J44)</f>
        <v>1.4089183589068592E-2</v>
      </c>
      <c r="K45" s="21">
        <f>SUM(K43/K44)</f>
        <v>0</v>
      </c>
      <c r="L45" s="13" t="s">
        <v>48</v>
      </c>
    </row>
    <row r="46" spans="1:12" x14ac:dyDescent="0.25">
      <c r="A46" s="96"/>
      <c r="B46" s="200"/>
      <c r="C46" s="97"/>
      <c r="D46" s="98"/>
      <c r="E46" s="98"/>
      <c r="F46" s="98"/>
      <c r="G46" s="83"/>
      <c r="H46" s="99"/>
      <c r="I46" s="95"/>
    </row>
    <row r="47" spans="1:12" x14ac:dyDescent="0.25">
      <c r="A47" s="96"/>
      <c r="B47" s="200"/>
      <c r="C47" s="100"/>
      <c r="D47" s="72"/>
      <c r="G47" s="94" t="s">
        <v>49</v>
      </c>
      <c r="H47" s="101"/>
      <c r="I47" s="95"/>
      <c r="J47" s="102">
        <v>752050536</v>
      </c>
      <c r="K47" s="63">
        <f>SUM(K44)</f>
        <v>357860054</v>
      </c>
      <c r="L47" s="28" t="s">
        <v>46</v>
      </c>
    </row>
    <row r="48" spans="1:12" ht="16.5" x14ac:dyDescent="0.35">
      <c r="A48" s="187"/>
      <c r="B48" s="186"/>
      <c r="C48" s="103"/>
      <c r="D48" s="85"/>
      <c r="F48" s="85"/>
      <c r="G48" s="94" t="s">
        <v>50</v>
      </c>
      <c r="H48" s="101"/>
      <c r="I48" s="95"/>
      <c r="J48" s="102">
        <f>7222216*20%</f>
        <v>1444443.2000000002</v>
      </c>
      <c r="K48" s="104">
        <f>SUM(K43)</f>
        <v>0</v>
      </c>
      <c r="L48" s="91" t="s">
        <v>51</v>
      </c>
    </row>
    <row r="49" spans="1:12" x14ac:dyDescent="0.25">
      <c r="A49" s="96"/>
      <c r="B49" s="186"/>
      <c r="C49" s="103"/>
      <c r="D49" s="85"/>
      <c r="F49" s="85"/>
      <c r="G49" s="94" t="s">
        <v>52</v>
      </c>
      <c r="H49" s="101"/>
      <c r="I49" s="95"/>
      <c r="J49" s="102">
        <v>13051123</v>
      </c>
      <c r="K49" s="86">
        <f>SUM(K47-K48)</f>
        <v>357860054</v>
      </c>
      <c r="L49" s="13" t="s">
        <v>53</v>
      </c>
    </row>
    <row r="50" spans="1:12" x14ac:dyDescent="0.25">
      <c r="A50" s="188" t="s">
        <v>108</v>
      </c>
      <c r="B50" s="189">
        <f>SUM(B44:B49)</f>
        <v>0</v>
      </c>
      <c r="C50" s="103"/>
      <c r="D50" s="85"/>
      <c r="E50" s="105"/>
      <c r="F50" s="105"/>
      <c r="G50" s="83" t="s">
        <v>54</v>
      </c>
      <c r="H50" s="101"/>
      <c r="I50" s="106"/>
      <c r="J50" s="107">
        <v>-3095262</v>
      </c>
      <c r="K50" s="21"/>
      <c r="L50" s="13"/>
    </row>
    <row r="51" spans="1:12" x14ac:dyDescent="0.25">
      <c r="A51" s="92"/>
      <c r="B51" s="100"/>
      <c r="C51" s="103"/>
      <c r="D51" s="72"/>
      <c r="E51" s="72"/>
      <c r="G51" s="94" t="s">
        <v>55</v>
      </c>
      <c r="H51" s="101"/>
      <c r="I51" s="108"/>
      <c r="J51" s="107">
        <v>-184173764</v>
      </c>
      <c r="K51" s="109">
        <f>SUM(H41)</f>
        <v>5041956</v>
      </c>
      <c r="L51" s="28" t="s">
        <v>56</v>
      </c>
    </row>
    <row r="52" spans="1:12" ht="16.5" x14ac:dyDescent="0.35">
      <c r="A52" s="96"/>
      <c r="B52" s="110"/>
      <c r="C52" s="103"/>
      <c r="D52" s="72"/>
      <c r="E52" s="72"/>
      <c r="G52" s="94" t="s">
        <v>57</v>
      </c>
      <c r="H52" s="101"/>
      <c r="I52" s="108"/>
      <c r="J52" s="111">
        <f>SUM(J47:J51)</f>
        <v>579277076.20000005</v>
      </c>
      <c r="K52" s="112">
        <f>SUM(K45)</f>
        <v>0</v>
      </c>
      <c r="L52" s="91" t="s">
        <v>58</v>
      </c>
    </row>
    <row r="53" spans="1:12" x14ac:dyDescent="0.25">
      <c r="A53" s="96"/>
      <c r="B53" s="110"/>
      <c r="C53" s="113"/>
      <c r="D53" s="72"/>
      <c r="E53" s="72"/>
      <c r="G53" s="88"/>
      <c r="H53" s="101"/>
      <c r="I53" s="70"/>
      <c r="J53" s="114">
        <f>SUM(J45)</f>
        <v>1.4089183589068592E-2</v>
      </c>
      <c r="K53" s="63">
        <f>SUM(K51*K52)</f>
        <v>0</v>
      </c>
      <c r="L53" s="28" t="s">
        <v>59</v>
      </c>
    </row>
    <row r="54" spans="1:12" ht="16.5" x14ac:dyDescent="0.35">
      <c r="A54" s="96"/>
      <c r="B54" s="110"/>
      <c r="C54" s="96"/>
      <c r="D54" s="72"/>
      <c r="E54" s="13"/>
      <c r="G54" s="115" t="s">
        <v>60</v>
      </c>
      <c r="H54" s="116">
        <f>SUM(J54)</f>
        <v>8161541.0755206775</v>
      </c>
      <c r="I54" s="117"/>
      <c r="J54" s="118">
        <f>SUM(J52*J53)</f>
        <v>8161541.0755206775</v>
      </c>
    </row>
    <row r="55" spans="1:12" ht="16.5" x14ac:dyDescent="0.35">
      <c r="A55" s="96"/>
      <c r="B55" s="110"/>
      <c r="C55" s="13"/>
      <c r="D55" s="72"/>
      <c r="E55" s="72"/>
      <c r="G55" s="119" t="s">
        <v>113</v>
      </c>
      <c r="H55" s="120">
        <f>SUM(H43+H54)</f>
        <v>13203497.075520677</v>
      </c>
      <c r="I55" s="117"/>
      <c r="J55" s="121"/>
      <c r="K55" s="13"/>
      <c r="L55" s="13"/>
    </row>
    <row r="56" spans="1:12" x14ac:dyDescent="0.25">
      <c r="A56" s="96"/>
      <c r="B56" s="122"/>
      <c r="C56" s="13"/>
      <c r="D56" s="97"/>
      <c r="F56" s="97"/>
      <c r="G56" s="123" t="s">
        <v>61</v>
      </c>
      <c r="H56" s="124">
        <f>SUM(H55*-0.02)</f>
        <v>-264069.94151041354</v>
      </c>
      <c r="I56" s="125"/>
      <c r="J56" s="13"/>
    </row>
    <row r="57" spans="1:12" ht="16.5" x14ac:dyDescent="0.35">
      <c r="A57" s="126"/>
      <c r="B57" s="96"/>
      <c r="C57" s="96"/>
      <c r="D57" s="96"/>
      <c r="E57" s="96"/>
      <c r="F57" s="96"/>
      <c r="G57" s="119" t="s">
        <v>114</v>
      </c>
      <c r="H57" s="127">
        <f>SUM(H55:H56)</f>
        <v>12939427.134010265</v>
      </c>
      <c r="I57" s="128"/>
      <c r="J57" s="129"/>
      <c r="K57" s="130"/>
      <c r="L57" s="131"/>
    </row>
    <row r="58" spans="1:12" ht="16.5" x14ac:dyDescent="0.35">
      <c r="A58" s="126"/>
      <c r="B58" s="96"/>
      <c r="C58" s="96"/>
      <c r="D58" s="96"/>
      <c r="E58" s="96"/>
      <c r="F58" s="96"/>
      <c r="G58" s="119" t="s">
        <v>91</v>
      </c>
      <c r="H58" s="127">
        <f>B50*-1</f>
        <v>0</v>
      </c>
      <c r="I58" s="128"/>
      <c r="J58" s="129"/>
      <c r="K58" s="130"/>
      <c r="L58" s="131"/>
    </row>
    <row r="59" spans="1:12" ht="16.5" x14ac:dyDescent="0.35">
      <c r="A59" s="126"/>
      <c r="B59" s="96"/>
      <c r="C59" s="96"/>
      <c r="D59" s="96"/>
      <c r="E59" s="96"/>
      <c r="F59" s="96"/>
      <c r="H59" s="127"/>
      <c r="I59" s="128"/>
      <c r="J59" s="202"/>
      <c r="K59" s="130"/>
      <c r="L59" s="131"/>
    </row>
    <row r="60" spans="1:12" ht="17.25" thickBot="1" x14ac:dyDescent="0.4">
      <c r="A60" s="126"/>
      <c r="B60" s="96"/>
      <c r="C60" s="96"/>
      <c r="D60" s="96"/>
      <c r="E60" s="96"/>
      <c r="F60" s="96"/>
      <c r="G60" s="132" t="s">
        <v>115</v>
      </c>
      <c r="H60" s="133">
        <f>(H57+H58)/10</f>
        <v>1293942.7134010266</v>
      </c>
      <c r="I60" s="128"/>
      <c r="J60" s="129"/>
      <c r="K60" s="130"/>
      <c r="L60" s="131"/>
    </row>
    <row r="61" spans="1:12" x14ac:dyDescent="0.25">
      <c r="A61" s="134"/>
      <c r="B61" s="134"/>
      <c r="D61" s="135"/>
      <c r="E61" s="92"/>
      <c r="F61" s="92"/>
      <c r="H61" s="201"/>
      <c r="I61" s="136"/>
      <c r="J61" s="92"/>
      <c r="K61" s="100"/>
      <c r="L61" s="136" t="s">
        <v>10</v>
      </c>
    </row>
    <row r="62" spans="1:12" x14ac:dyDescent="0.25">
      <c r="A62" s="134"/>
      <c r="B62" s="134"/>
      <c r="H62" s="137">
        <f>+H57/12</f>
        <v>1078285.5945008553</v>
      </c>
    </row>
    <row r="63" spans="1:12" x14ac:dyDescent="0.25">
      <c r="H63" s="137"/>
    </row>
  </sheetData>
  <phoneticPr fontId="33" type="noConversion"/>
  <pageMargins left="0.7" right="0.7" top="0.75" bottom="0.75" header="0.3" footer="0.3"/>
  <pageSetup scale="4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workbookViewId="0">
      <selection activeCell="C27" sqref="C27"/>
    </sheetView>
  </sheetViews>
  <sheetFormatPr defaultRowHeight="15" x14ac:dyDescent="0.25"/>
  <cols>
    <col min="1" max="1" width="13.5703125" customWidth="1"/>
    <col min="5" max="5" width="10.7109375" bestFit="1" customWidth="1"/>
    <col min="6" max="6" width="13.28515625" customWidth="1"/>
    <col min="7" max="7" width="12.42578125" bestFit="1" customWidth="1"/>
    <col min="8" max="8" width="21.5703125" customWidth="1"/>
  </cols>
  <sheetData>
    <row r="1" spans="1:8" x14ac:dyDescent="0.25">
      <c r="A1" s="138" t="s">
        <v>62</v>
      </c>
      <c r="B1" s="139"/>
      <c r="C1" s="139"/>
      <c r="D1" s="139"/>
      <c r="E1" s="139"/>
      <c r="F1" s="139"/>
      <c r="G1" s="139"/>
      <c r="H1" s="139"/>
    </row>
    <row r="2" spans="1:8" x14ac:dyDescent="0.25">
      <c r="A2" s="138"/>
      <c r="B2" s="139"/>
      <c r="C2" s="139"/>
      <c r="D2" s="139"/>
      <c r="E2" s="139"/>
      <c r="F2" s="139"/>
      <c r="G2" s="139"/>
      <c r="H2" s="139"/>
    </row>
    <row r="3" spans="1:8" ht="20.25" x14ac:dyDescent="0.3">
      <c r="A3" s="140" t="str">
        <f>'[1]ANCS-M'!A3</f>
        <v>Weighted Average as of 11/06/2020 (OCT 2020 FTE009)</v>
      </c>
      <c r="B3" s="141"/>
      <c r="C3" s="141"/>
      <c r="D3" s="141"/>
      <c r="E3" s="141"/>
      <c r="F3" s="141"/>
      <c r="G3" s="141"/>
      <c r="H3" s="141"/>
    </row>
    <row r="4" spans="1:8" ht="15.75" thickBot="1" x14ac:dyDescent="0.3">
      <c r="A4" s="139"/>
      <c r="B4" s="139"/>
      <c r="C4" s="139"/>
      <c r="D4" s="139"/>
      <c r="E4" s="139"/>
      <c r="F4" s="139"/>
      <c r="G4" s="139"/>
      <c r="H4" s="139"/>
    </row>
    <row r="5" spans="1:8" ht="15.75" x14ac:dyDescent="0.25">
      <c r="A5" s="142" t="s">
        <v>63</v>
      </c>
      <c r="B5" s="143" t="s">
        <v>109</v>
      </c>
      <c r="C5" s="144" t="s">
        <v>93</v>
      </c>
      <c r="D5" s="143" t="s">
        <v>92</v>
      </c>
      <c r="E5" s="142" t="s">
        <v>64</v>
      </c>
      <c r="F5" s="142" t="s">
        <v>65</v>
      </c>
      <c r="G5" s="144" t="s">
        <v>110</v>
      </c>
      <c r="H5" s="145" t="s">
        <v>111</v>
      </c>
    </row>
    <row r="6" spans="1:8" ht="16.5" thickBot="1" x14ac:dyDescent="0.3">
      <c r="A6" s="146"/>
      <c r="B6" s="146" t="s">
        <v>66</v>
      </c>
      <c r="C6" s="146" t="s">
        <v>66</v>
      </c>
      <c r="D6" s="146" t="s">
        <v>66</v>
      </c>
      <c r="E6" s="146" t="s">
        <v>67</v>
      </c>
      <c r="F6" s="146" t="s">
        <v>68</v>
      </c>
      <c r="G6" s="146" t="s">
        <v>69</v>
      </c>
      <c r="H6" s="147" t="s">
        <v>70</v>
      </c>
    </row>
    <row r="7" spans="1:8" ht="16.5" thickBot="1" x14ac:dyDescent="0.3">
      <c r="A7" s="148"/>
      <c r="B7" s="149"/>
      <c r="C7" s="150"/>
      <c r="D7" s="149"/>
      <c r="E7" s="151"/>
      <c r="F7" s="152"/>
      <c r="G7" s="152"/>
      <c r="H7" s="153"/>
    </row>
    <row r="8" spans="1:8" ht="15.75" x14ac:dyDescent="0.25">
      <c r="A8" s="154" t="s">
        <v>71</v>
      </c>
      <c r="B8" s="155">
        <v>89</v>
      </c>
      <c r="C8" s="156">
        <v>64</v>
      </c>
      <c r="D8" s="155">
        <v>63</v>
      </c>
      <c r="E8" s="157">
        <f>(B8+C8)/2</f>
        <v>76.5</v>
      </c>
      <c r="F8" s="158">
        <f t="shared" ref="F8:F26" si="0">E8/E$28</f>
        <v>0.1028225806451613</v>
      </c>
      <c r="G8" s="159">
        <f t="shared" ref="G8:G26" si="1">ROUND(F8*G$28,0)</f>
        <v>81</v>
      </c>
      <c r="H8" s="160">
        <f>ROUND((2*B8+G8)/3,0)</f>
        <v>86</v>
      </c>
    </row>
    <row r="9" spans="1:8" ht="15.75" x14ac:dyDescent="0.25">
      <c r="A9" s="161" t="s">
        <v>72</v>
      </c>
      <c r="B9" s="162"/>
      <c r="C9" s="163"/>
      <c r="D9" s="162">
        <v>0</v>
      </c>
      <c r="E9" s="164">
        <f>(B9+C9)/2</f>
        <v>0</v>
      </c>
      <c r="F9" s="165">
        <f t="shared" si="0"/>
        <v>0</v>
      </c>
      <c r="G9" s="166">
        <f t="shared" si="1"/>
        <v>0</v>
      </c>
      <c r="H9" s="167">
        <f>ROUND((2*B9+G9)/3,0)</f>
        <v>0</v>
      </c>
    </row>
    <row r="10" spans="1:8" ht="15.75" x14ac:dyDescent="0.25">
      <c r="A10" s="161" t="s">
        <v>73</v>
      </c>
      <c r="B10" s="162">
        <v>252</v>
      </c>
      <c r="C10" s="163">
        <v>223</v>
      </c>
      <c r="D10" s="162">
        <v>219</v>
      </c>
      <c r="E10" s="164">
        <f t="shared" ref="E10:E26" si="2">(B10+C10)/2</f>
        <v>237.5</v>
      </c>
      <c r="F10" s="165">
        <f t="shared" si="0"/>
        <v>0.31922043010752688</v>
      </c>
      <c r="G10" s="166">
        <f t="shared" si="1"/>
        <v>252</v>
      </c>
      <c r="H10" s="167">
        <f t="shared" ref="H10:H26" si="3">ROUND((2*B10+G10)/3,0)</f>
        <v>252</v>
      </c>
    </row>
    <row r="11" spans="1:8" ht="15.75" x14ac:dyDescent="0.25">
      <c r="A11" s="161" t="s">
        <v>74</v>
      </c>
      <c r="B11" s="162">
        <v>13</v>
      </c>
      <c r="C11" s="163">
        <v>20</v>
      </c>
      <c r="D11" s="162">
        <v>14</v>
      </c>
      <c r="E11" s="164">
        <f t="shared" si="2"/>
        <v>16.5</v>
      </c>
      <c r="F11" s="165">
        <f t="shared" si="0"/>
        <v>2.2177419354838711E-2</v>
      </c>
      <c r="G11" s="166">
        <f t="shared" si="1"/>
        <v>18</v>
      </c>
      <c r="H11" s="167">
        <f t="shared" si="3"/>
        <v>15</v>
      </c>
    </row>
    <row r="12" spans="1:8" ht="15.75" x14ac:dyDescent="0.25">
      <c r="A12" s="161" t="s">
        <v>75</v>
      </c>
      <c r="B12" s="162">
        <v>160</v>
      </c>
      <c r="C12" s="163">
        <v>172</v>
      </c>
      <c r="D12" s="162">
        <v>167</v>
      </c>
      <c r="E12" s="164">
        <f t="shared" si="2"/>
        <v>166</v>
      </c>
      <c r="F12" s="165">
        <f t="shared" si="0"/>
        <v>0.22311827956989247</v>
      </c>
      <c r="G12" s="166">
        <f t="shared" si="1"/>
        <v>176</v>
      </c>
      <c r="H12" s="167">
        <f t="shared" si="3"/>
        <v>165</v>
      </c>
    </row>
    <row r="13" spans="1:8" ht="15.75" x14ac:dyDescent="0.25">
      <c r="A13" s="161" t="s">
        <v>76</v>
      </c>
      <c r="B13" s="162">
        <v>11</v>
      </c>
      <c r="C13" s="163">
        <v>13</v>
      </c>
      <c r="D13" s="162">
        <v>8</v>
      </c>
      <c r="E13" s="164">
        <f t="shared" si="2"/>
        <v>12</v>
      </c>
      <c r="F13" s="165">
        <f t="shared" si="0"/>
        <v>1.6129032258064516E-2</v>
      </c>
      <c r="G13" s="166">
        <f t="shared" si="1"/>
        <v>13</v>
      </c>
      <c r="H13" s="167">
        <f t="shared" si="3"/>
        <v>12</v>
      </c>
    </row>
    <row r="14" spans="1:8" ht="15.75" x14ac:dyDescent="0.25">
      <c r="A14" s="161" t="s">
        <v>77</v>
      </c>
      <c r="B14" s="162"/>
      <c r="C14" s="163"/>
      <c r="D14" s="162">
        <v>0</v>
      </c>
      <c r="E14" s="164">
        <f t="shared" si="2"/>
        <v>0</v>
      </c>
      <c r="F14" s="165">
        <f t="shared" si="0"/>
        <v>0</v>
      </c>
      <c r="G14" s="166">
        <f t="shared" si="1"/>
        <v>0</v>
      </c>
      <c r="H14" s="167">
        <f>ROUND((2*B14+G14)/3,0)</f>
        <v>0</v>
      </c>
    </row>
    <row r="15" spans="1:8" ht="15.75" x14ac:dyDescent="0.25">
      <c r="A15" s="161" t="s">
        <v>78</v>
      </c>
      <c r="B15" s="162">
        <v>207</v>
      </c>
      <c r="C15" s="163">
        <v>190</v>
      </c>
      <c r="D15" s="162">
        <v>188</v>
      </c>
      <c r="E15" s="164">
        <f t="shared" si="2"/>
        <v>198.5</v>
      </c>
      <c r="F15" s="165">
        <f t="shared" si="0"/>
        <v>0.26680107526881719</v>
      </c>
      <c r="G15" s="166">
        <f t="shared" si="1"/>
        <v>211</v>
      </c>
      <c r="H15" s="167">
        <f t="shared" si="3"/>
        <v>208</v>
      </c>
    </row>
    <row r="16" spans="1:8" ht="15.75" x14ac:dyDescent="0.25">
      <c r="A16" s="168" t="s">
        <v>79</v>
      </c>
      <c r="B16" s="169"/>
      <c r="C16" s="169"/>
      <c r="D16" s="169">
        <v>0</v>
      </c>
      <c r="E16" s="164">
        <f t="shared" si="2"/>
        <v>0</v>
      </c>
      <c r="F16" s="165">
        <f t="shared" si="0"/>
        <v>0</v>
      </c>
      <c r="G16" s="166">
        <f t="shared" si="1"/>
        <v>0</v>
      </c>
      <c r="H16" s="167">
        <f t="shared" si="3"/>
        <v>0</v>
      </c>
    </row>
    <row r="17" spans="1:8" ht="15.75" x14ac:dyDescent="0.25">
      <c r="A17" s="161" t="s">
        <v>80</v>
      </c>
      <c r="B17" s="169"/>
      <c r="C17" s="169"/>
      <c r="D17" s="169">
        <v>0</v>
      </c>
      <c r="E17" s="164">
        <f t="shared" si="2"/>
        <v>0</v>
      </c>
      <c r="F17" s="165">
        <f t="shared" si="0"/>
        <v>0</v>
      </c>
      <c r="G17" s="166">
        <f t="shared" si="1"/>
        <v>0</v>
      </c>
      <c r="H17" s="167">
        <f t="shared" si="3"/>
        <v>0</v>
      </c>
    </row>
    <row r="18" spans="1:8" ht="15.75" x14ac:dyDescent="0.25">
      <c r="A18" s="161" t="s">
        <v>81</v>
      </c>
      <c r="B18" s="169">
        <v>2</v>
      </c>
      <c r="C18" s="169">
        <v>0</v>
      </c>
      <c r="D18" s="169">
        <v>0</v>
      </c>
      <c r="E18" s="164">
        <f t="shared" si="2"/>
        <v>1</v>
      </c>
      <c r="F18" s="165">
        <f t="shared" si="0"/>
        <v>1.3440860215053765E-3</v>
      </c>
      <c r="G18" s="166">
        <f t="shared" si="1"/>
        <v>1</v>
      </c>
      <c r="H18" s="167">
        <f t="shared" si="3"/>
        <v>2</v>
      </c>
    </row>
    <row r="19" spans="1:8" ht="15.75" x14ac:dyDescent="0.25">
      <c r="A19" s="161" t="s">
        <v>82</v>
      </c>
      <c r="B19" s="169">
        <v>1</v>
      </c>
      <c r="C19" s="169">
        <v>1</v>
      </c>
      <c r="D19" s="169">
        <v>1</v>
      </c>
      <c r="E19" s="164">
        <f t="shared" si="2"/>
        <v>1</v>
      </c>
      <c r="F19" s="165">
        <f t="shared" si="0"/>
        <v>1.3440860215053765E-3</v>
      </c>
      <c r="G19" s="166">
        <f t="shared" si="1"/>
        <v>1</v>
      </c>
      <c r="H19" s="167">
        <f t="shared" si="3"/>
        <v>1</v>
      </c>
    </row>
    <row r="20" spans="1:8" ht="15.75" x14ac:dyDescent="0.25">
      <c r="A20" s="161" t="s">
        <v>83</v>
      </c>
      <c r="B20" s="163">
        <v>8</v>
      </c>
      <c r="C20" s="163">
        <v>8</v>
      </c>
      <c r="D20" s="163">
        <v>8</v>
      </c>
      <c r="E20" s="164">
        <f t="shared" si="2"/>
        <v>8</v>
      </c>
      <c r="F20" s="165">
        <f t="shared" si="0"/>
        <v>1.0752688172043012E-2</v>
      </c>
      <c r="G20" s="166">
        <f t="shared" si="1"/>
        <v>8</v>
      </c>
      <c r="H20" s="167">
        <f t="shared" si="3"/>
        <v>8</v>
      </c>
    </row>
    <row r="21" spans="1:8" ht="15.75" x14ac:dyDescent="0.25">
      <c r="A21" s="161" t="s">
        <v>84</v>
      </c>
      <c r="B21" s="163">
        <v>2</v>
      </c>
      <c r="C21" s="163">
        <v>2</v>
      </c>
      <c r="D21" s="163">
        <v>2</v>
      </c>
      <c r="E21" s="164">
        <f t="shared" si="2"/>
        <v>2</v>
      </c>
      <c r="F21" s="165">
        <f t="shared" si="0"/>
        <v>2.6881720430107529E-3</v>
      </c>
      <c r="G21" s="166">
        <f t="shared" si="1"/>
        <v>2</v>
      </c>
      <c r="H21" s="167">
        <f t="shared" si="3"/>
        <v>2</v>
      </c>
    </row>
    <row r="22" spans="1:8" ht="15.75" x14ac:dyDescent="0.25">
      <c r="A22" s="161" t="s">
        <v>85</v>
      </c>
      <c r="B22" s="163">
        <v>6</v>
      </c>
      <c r="C22" s="163">
        <v>12</v>
      </c>
      <c r="D22" s="163">
        <v>10</v>
      </c>
      <c r="E22" s="164">
        <f t="shared" si="2"/>
        <v>9</v>
      </c>
      <c r="F22" s="165">
        <f t="shared" si="0"/>
        <v>1.2096774193548387E-2</v>
      </c>
      <c r="G22" s="166">
        <f t="shared" si="1"/>
        <v>10</v>
      </c>
      <c r="H22" s="167">
        <f t="shared" si="3"/>
        <v>7</v>
      </c>
    </row>
    <row r="23" spans="1:8" ht="15.75" x14ac:dyDescent="0.25">
      <c r="A23" s="161" t="s">
        <v>86</v>
      </c>
      <c r="B23" s="163">
        <v>7</v>
      </c>
      <c r="C23" s="163">
        <v>12</v>
      </c>
      <c r="D23" s="163">
        <v>13</v>
      </c>
      <c r="E23" s="164">
        <f t="shared" si="2"/>
        <v>9.5</v>
      </c>
      <c r="F23" s="165">
        <f t="shared" si="0"/>
        <v>1.2768817204301076E-2</v>
      </c>
      <c r="G23" s="166">
        <f t="shared" si="1"/>
        <v>10</v>
      </c>
      <c r="H23" s="167">
        <f t="shared" si="3"/>
        <v>8</v>
      </c>
    </row>
    <row r="24" spans="1:8" ht="15.75" x14ac:dyDescent="0.25">
      <c r="A24" s="161" t="s">
        <v>23</v>
      </c>
      <c r="B24" s="163">
        <v>0</v>
      </c>
      <c r="C24" s="163">
        <v>7</v>
      </c>
      <c r="D24" s="163">
        <v>3</v>
      </c>
      <c r="E24" s="164">
        <f t="shared" si="2"/>
        <v>3.5</v>
      </c>
      <c r="F24" s="165">
        <f t="shared" si="0"/>
        <v>4.7043010752688174E-3</v>
      </c>
      <c r="G24" s="166">
        <f t="shared" si="1"/>
        <v>4</v>
      </c>
      <c r="H24" s="167">
        <f t="shared" si="3"/>
        <v>1</v>
      </c>
    </row>
    <row r="25" spans="1:8" ht="15.75" x14ac:dyDescent="0.25">
      <c r="A25" s="161" t="s">
        <v>87</v>
      </c>
      <c r="B25" s="170"/>
      <c r="C25" s="170"/>
      <c r="D25" s="170">
        <v>0</v>
      </c>
      <c r="E25" s="164">
        <f t="shared" si="2"/>
        <v>0</v>
      </c>
      <c r="F25" s="165">
        <f t="shared" si="0"/>
        <v>0</v>
      </c>
      <c r="G25" s="166">
        <f t="shared" si="1"/>
        <v>0</v>
      </c>
      <c r="H25" s="167">
        <f t="shared" si="3"/>
        <v>0</v>
      </c>
    </row>
    <row r="26" spans="1:8" ht="16.5" thickBot="1" x14ac:dyDescent="0.3">
      <c r="A26" s="171" t="s">
        <v>88</v>
      </c>
      <c r="B26" s="172">
        <v>2</v>
      </c>
      <c r="C26" s="172">
        <v>4</v>
      </c>
      <c r="D26" s="172">
        <v>4</v>
      </c>
      <c r="E26" s="173">
        <f t="shared" si="2"/>
        <v>3</v>
      </c>
      <c r="F26" s="174">
        <f t="shared" si="0"/>
        <v>4.0322580645161289E-3</v>
      </c>
      <c r="G26" s="175">
        <f t="shared" si="1"/>
        <v>3</v>
      </c>
      <c r="H26" s="176">
        <f t="shared" si="3"/>
        <v>2</v>
      </c>
    </row>
    <row r="27" spans="1:8" ht="16.5" thickBot="1" x14ac:dyDescent="0.3">
      <c r="A27" s="149"/>
      <c r="B27" s="149"/>
      <c r="C27" s="149"/>
      <c r="D27" s="149"/>
      <c r="E27" s="177"/>
      <c r="F27" s="152"/>
      <c r="G27" s="152"/>
      <c r="H27" s="153"/>
    </row>
    <row r="28" spans="1:8" ht="16.5" thickBot="1" x14ac:dyDescent="0.3">
      <c r="A28" s="178" t="s">
        <v>89</v>
      </c>
      <c r="B28" s="179">
        <f>SUM(B8:B26)</f>
        <v>760</v>
      </c>
      <c r="C28" s="179">
        <f>SUM(C8:C26)</f>
        <v>728</v>
      </c>
      <c r="D28" s="179">
        <f>SUM(D8:D26)</f>
        <v>700</v>
      </c>
      <c r="E28" s="180">
        <f>(B28+C28)/2</f>
        <v>744</v>
      </c>
      <c r="F28" s="181">
        <f>SUM(F8:F26)</f>
        <v>1</v>
      </c>
      <c r="G28" s="182">
        <f>ROUND(B28/D28*C28,0)</f>
        <v>790</v>
      </c>
      <c r="H28" s="183">
        <f>SUM(H8:H26)</f>
        <v>769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D8" sqref="D8"/>
    </sheetView>
  </sheetViews>
  <sheetFormatPr defaultColWidth="17" defaultRowHeight="15" x14ac:dyDescent="0.25"/>
  <sheetData>
    <row r="1" spans="1:9" ht="90" x14ac:dyDescent="0.25">
      <c r="A1" s="190" t="s">
        <v>94</v>
      </c>
      <c r="B1" s="190" t="s">
        <v>95</v>
      </c>
      <c r="C1" s="190" t="s">
        <v>96</v>
      </c>
      <c r="D1" s="190" t="s">
        <v>97</v>
      </c>
      <c r="E1" s="190" t="s">
        <v>98</v>
      </c>
      <c r="F1" s="191" t="s">
        <v>99</v>
      </c>
      <c r="G1" s="192" t="s">
        <v>100</v>
      </c>
      <c r="H1" s="193" t="s">
        <v>101</v>
      </c>
      <c r="I1" s="194" t="s">
        <v>102</v>
      </c>
    </row>
    <row r="2" spans="1:9" x14ac:dyDescent="0.25">
      <c r="A2" s="195" t="s">
        <v>103</v>
      </c>
      <c r="B2" s="195" t="s">
        <v>104</v>
      </c>
      <c r="C2" s="195" t="s">
        <v>105</v>
      </c>
      <c r="D2" s="195" t="s">
        <v>106</v>
      </c>
      <c r="E2" s="195" t="s">
        <v>107</v>
      </c>
      <c r="F2" s="196">
        <v>398250</v>
      </c>
      <c r="G2" s="197">
        <v>39825</v>
      </c>
      <c r="H2" s="196">
        <v>358425</v>
      </c>
      <c r="I2" s="197">
        <v>15000</v>
      </c>
    </row>
    <row r="3" spans="1:9" x14ac:dyDescent="0.25">
      <c r="F3" s="198"/>
      <c r="G3" s="198"/>
      <c r="H3" s="198"/>
      <c r="I3" s="137"/>
    </row>
    <row r="4" spans="1:9" x14ac:dyDescent="0.25">
      <c r="F4" s="199">
        <v>398250</v>
      </c>
      <c r="G4" s="199">
        <v>39825</v>
      </c>
      <c r="H4" s="199">
        <v>358425</v>
      </c>
      <c r="I4" s="199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Centennial Proj</vt:lpstr>
      <vt:lpstr>FY22 weighted ave- Oct</vt:lpstr>
      <vt:lpstr>Title I</vt:lpstr>
    </vt:vector>
  </TitlesOfParts>
  <Company>Atlanta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Lu, Kathleen</dc:creator>
  <cp:lastModifiedBy>Steven Pressas</cp:lastModifiedBy>
  <cp:lastPrinted>2021-05-04T16:50:35Z</cp:lastPrinted>
  <dcterms:created xsi:type="dcterms:W3CDTF">2019-06-25T20:31:47Z</dcterms:created>
  <dcterms:modified xsi:type="dcterms:W3CDTF">2022-09-17T18:24:24Z</dcterms:modified>
</cp:coreProperties>
</file>